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41F2B81-1A7C-4E55-8392-93DFAAB4D8E4}" xr6:coauthVersionLast="47" xr6:coauthVersionMax="47" xr10:uidLastSave="{00000000-0000-0000-0000-000000000000}"/>
  <bookViews>
    <workbookView xWindow="-120" yWindow="-120" windowWidth="20730" windowHeight="11160" tabRatio="378" activeTab="2" xr2:uid="{00000000-000D-0000-FFFF-FFFF00000000}"/>
  </bookViews>
  <sheets>
    <sheet name="Sayfa1" sheetId="3" r:id="rId1"/>
    <sheet name="Gelir Vergisi Verileri" sheetId="2" r:id="rId2"/>
    <sheet name="Bordro" sheetId="1" r:id="rId3"/>
  </sheets>
  <definedNames>
    <definedName name="_xlnm.Print_Area" localSheetId="2">Bordro!$A$1:$H$72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" l="1"/>
  <c r="D40" i="1"/>
  <c r="B49" i="1"/>
  <c r="B52" i="1"/>
  <c r="B53" i="1"/>
  <c r="H54" i="1"/>
  <c r="H49" i="1"/>
  <c r="G54" i="1"/>
  <c r="G49" i="1"/>
  <c r="D62" i="1"/>
  <c r="B62" i="1"/>
  <c r="C61" i="1"/>
  <c r="C57" i="1"/>
  <c r="C47" i="1"/>
  <c r="E60" i="1"/>
  <c r="E56" i="1"/>
  <c r="E53" i="1"/>
  <c r="H50" i="1" s="1"/>
  <c r="E21" i="1"/>
  <c r="E20" i="1"/>
  <c r="E19" i="1"/>
  <c r="D56" i="1"/>
  <c r="D20" i="1"/>
  <c r="D19" i="1"/>
  <c r="H55" i="1"/>
  <c r="G17" i="1"/>
  <c r="G13" i="1"/>
  <c r="A71" i="1"/>
  <c r="A70" i="1"/>
  <c r="C56" i="1"/>
  <c r="A69" i="1"/>
  <c r="C69" i="1" s="1"/>
  <c r="D69" i="1" s="1"/>
  <c r="D13" i="1"/>
  <c r="G9" i="1"/>
  <c r="B55" i="1"/>
  <c r="B54" i="1"/>
  <c r="B50" i="1"/>
  <c r="B69" i="1" l="1"/>
  <c r="G27" i="1"/>
  <c r="H27" i="1" s="1"/>
  <c r="E11" i="1"/>
  <c r="D51" i="1" l="1"/>
  <c r="E51" i="1" s="1"/>
  <c r="D46" i="1"/>
  <c r="E46" i="1" s="1"/>
  <c r="D42" i="1"/>
  <c r="E42" i="1" s="1"/>
  <c r="D38" i="1"/>
  <c r="E38" i="1" s="1"/>
  <c r="D34" i="1"/>
  <c r="E34" i="1" s="1"/>
  <c r="D30" i="1"/>
  <c r="E30" i="1" s="1"/>
  <c r="D26" i="1"/>
  <c r="E26" i="1" s="1"/>
  <c r="D22" i="1"/>
  <c r="E22" i="1" s="1"/>
  <c r="D18" i="1"/>
  <c r="E18" i="1" s="1"/>
  <c r="D55" i="1"/>
  <c r="E55" i="1" s="1"/>
  <c r="D37" i="1"/>
  <c r="E37" i="1" s="1"/>
  <c r="D29" i="1"/>
  <c r="E29" i="1" s="1"/>
  <c r="D15" i="1"/>
  <c r="E15" i="1" s="1"/>
  <c r="D54" i="1"/>
  <c r="E54" i="1" s="1"/>
  <c r="G55" i="1" s="1"/>
  <c r="D36" i="1"/>
  <c r="E36" i="1" s="1"/>
  <c r="D24" i="1"/>
  <c r="E24" i="1" s="1"/>
  <c r="D49" i="1"/>
  <c r="D39" i="1"/>
  <c r="E39" i="1" s="1"/>
  <c r="D27" i="1"/>
  <c r="E27" i="1" s="1"/>
  <c r="D17" i="1"/>
  <c r="E17" i="1" s="1"/>
  <c r="D50" i="1"/>
  <c r="E50" i="1" s="1"/>
  <c r="D45" i="1"/>
  <c r="E45" i="1" s="1"/>
  <c r="D41" i="1"/>
  <c r="E41" i="1" s="1"/>
  <c r="D33" i="1"/>
  <c r="E33" i="1" s="1"/>
  <c r="D25" i="1"/>
  <c r="E25" i="1" s="1"/>
  <c r="D14" i="1"/>
  <c r="D52" i="1"/>
  <c r="E52" i="1" s="1"/>
  <c r="D44" i="1"/>
  <c r="E44" i="1" s="1"/>
  <c r="E40" i="1"/>
  <c r="D32" i="1"/>
  <c r="E32" i="1" s="1"/>
  <c r="D28" i="1"/>
  <c r="E28" i="1" s="1"/>
  <c r="D16" i="1"/>
  <c r="E16" i="1" s="1"/>
  <c r="D43" i="1"/>
  <c r="E43" i="1" s="1"/>
  <c r="D35" i="1"/>
  <c r="E35" i="1" s="1"/>
  <c r="D31" i="1"/>
  <c r="E31" i="1" s="1"/>
  <c r="D23" i="1"/>
  <c r="E23" i="1" s="1"/>
  <c r="D21" i="1"/>
  <c r="G24" i="1"/>
  <c r="D60" i="1"/>
  <c r="G25" i="1"/>
  <c r="G26" i="1"/>
  <c r="G5" i="1"/>
  <c r="G19" i="1" s="1"/>
  <c r="G23" i="1"/>
  <c r="D11" i="1"/>
  <c r="G29" i="1" s="1"/>
  <c r="D47" i="1" l="1"/>
  <c r="E14" i="1"/>
  <c r="E47" i="1" s="1"/>
  <c r="D57" i="1"/>
  <c r="E49" i="1"/>
  <c r="G22" i="1"/>
  <c r="G28" i="1" s="1"/>
  <c r="G31" i="1" s="1"/>
  <c r="D59" i="1" s="1"/>
  <c r="E57" i="1" l="1"/>
  <c r="G50" i="1"/>
  <c r="D61" i="1"/>
  <c r="E59" i="1"/>
  <c r="E61" i="1" s="1"/>
  <c r="E62" i="1" s="1"/>
  <c r="H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1" authorId="0" shapeId="0" xr:uid="{ED702F7B-86EF-466E-A696-6C4F98322213}">
      <text>
        <r>
          <rPr>
            <b/>
            <sz val="9"/>
            <color indexed="81"/>
            <rFont val="Tahoma"/>
            <family val="2"/>
            <charset val="162"/>
          </rPr>
          <t>Bordroda gelirler kısmındaki tutar.</t>
        </r>
      </text>
    </comment>
    <comment ref="C53" authorId="0" shapeId="0" xr:uid="{149EB9AB-8232-4672-90BE-06B394F1CCD7}">
      <text>
        <r>
          <rPr>
            <b/>
            <sz val="9"/>
            <color indexed="81"/>
            <rFont val="Tahoma"/>
            <charset val="1"/>
          </rPr>
          <t>Hücre değeri rakamla sıfır olmalıdır!</t>
        </r>
      </text>
    </comment>
    <comment ref="C56" authorId="0" shapeId="0" xr:uid="{4DEEB982-CAB0-4958-81E1-D12EF7BFF56A}">
      <text>
        <r>
          <rPr>
            <b/>
            <sz val="9"/>
            <color indexed="81"/>
            <rFont val="Tahoma"/>
            <family val="2"/>
            <charset val="162"/>
          </rPr>
          <t>Bordroda gelirler kısmındaki tutar.</t>
        </r>
      </text>
    </comment>
  </commentList>
</comments>
</file>

<file path=xl/sharedStrings.xml><?xml version="1.0" encoding="utf-8"?>
<sst xmlns="http://schemas.openxmlformats.org/spreadsheetml/2006/main" count="254" uniqueCount="235">
  <si>
    <t>EK-1</t>
  </si>
  <si>
    <t>Muhasebe Birimi Adı</t>
  </si>
  <si>
    <t>Borçlunun Adı Soyadı</t>
  </si>
  <si>
    <t>Sicil / T.C. Kimlik No</t>
  </si>
  <si>
    <t>Tebliğ Tarihi</t>
  </si>
  <si>
    <t>A- PERSONEL BİLGİLERİ</t>
  </si>
  <si>
    <t>B- AYLIK BİLGİLERİ</t>
  </si>
  <si>
    <t>Taban Aylığı</t>
  </si>
  <si>
    <t>Kıdem Aylığı</t>
  </si>
  <si>
    <t>Aile Yardımı (Eş İçin)*</t>
  </si>
  <si>
    <t>Aile Yardımı (Çocuk İçin)*</t>
  </si>
  <si>
    <t>Özel Hizmet Tazminatı</t>
  </si>
  <si>
    <t>Ücret Tutarı</t>
  </si>
  <si>
    <t>Tazminat Tutarı</t>
  </si>
  <si>
    <t>Üniversite Ödeneği</t>
  </si>
  <si>
    <t>Gelir Vergisi****</t>
  </si>
  <si>
    <t>Damga Vergisi*****</t>
  </si>
  <si>
    <t>ÖDENEN
a</t>
  </si>
  <si>
    <t>HAK-EDİLMEYEN
c=a-b</t>
  </si>
  <si>
    <t>Gerçekleştirme Görevlisi</t>
  </si>
  <si>
    <t>Harcama Yetkilisi</t>
  </si>
  <si>
    <t>I- HAK EDİLEN VE
HAK EDİLMEYEN AYLIK TUTARLARI</t>
  </si>
  <si>
    <t>III- VERGİ
KESİNTİLERİ</t>
  </si>
  <si>
    <t>IV- HESAPLANAN
BORÇ TUTARI</t>
  </si>
  <si>
    <t>Aylık Tutar (Gösterge Aylığı)</t>
  </si>
  <si>
    <t>Ek Gösterge Aylığı</t>
  </si>
  <si>
    <t>Yan Ödeme Aylığı</t>
  </si>
  <si>
    <t>İlaveÖd.(375.40)</t>
  </si>
  <si>
    <t>TOPLAM (1)</t>
  </si>
  <si>
    <t>TOPLAM (2)</t>
  </si>
  <si>
    <t>TOPLAM (3)</t>
  </si>
  <si>
    <t>Harcama Birimi Adı</t>
  </si>
  <si>
    <t>VKN</t>
  </si>
  <si>
    <t>Pardus, Libre Office ile kullanıyorsanız Farklı Kaydet ile ODF(ods) olarak kaydederek kullanmanız önerilir.</t>
  </si>
  <si>
    <t>Kasım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</si>
  <si>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</si>
  <si>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</si>
  <si>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</si>
  <si>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</si>
  <si>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</si>
  <si>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</si>
  <si>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</si>
  <si>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</si>
  <si>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</si>
  <si>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</si>
  <si>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Aralık</t>
  </si>
  <si>
    <t>https://www.resmigazete.gov.tr/eskiler/2023/11/20231128.pdf</t>
  </si>
  <si>
    <t>https://www.resmigazete.gov.tr/eskiler/2023/11/20231128-6.htm</t>
  </si>
  <si>
    <t>https://www.resmigazete.gov.tr/eskiler/2023/11/20231128-6-1.pdf</t>
  </si>
  <si>
    <t>2008-2021 yılları dahil bu ikisi arasındaki yıllarda vergi istisnası yerine Asgari Geçim İndirimi Uygulanmaktaydı.</t>
  </si>
  <si>
    <t>Makam Tazminatı</t>
  </si>
  <si>
    <t xml:space="preserve">Tem/Gör. Taz. </t>
  </si>
  <si>
    <t>Ek Tazminat</t>
  </si>
  <si>
    <t>Açığa Alınma</t>
  </si>
  <si>
    <t>Borcun Nedeni</t>
  </si>
  <si>
    <t>Aylık Dönemi Yıl / Ay</t>
  </si>
  <si>
    <t>Borç Nedenleri</t>
  </si>
  <si>
    <t>II- EMEKLİ KESENEKLERİ/
SİGORTA PRİMLERİ***
(Devlet/İşveren Payları)</t>
  </si>
  <si>
    <t>KESİLEN TUTAR</t>
  </si>
  <si>
    <t>KESİLMESİ GEREKEN TUTAR</t>
  </si>
  <si>
    <t>YERSİZ KESİLEN TUTAR</t>
  </si>
  <si>
    <t>Denetim Tazminatı</t>
  </si>
  <si>
    <t>Dil Tazminatı</t>
  </si>
  <si>
    <t>Diğer**</t>
  </si>
  <si>
    <t>AYLIKLARDAN GERİ ALINACAK  TUTARI HESAPLAMA TABLOSU</t>
  </si>
  <si>
    <t>Kaynaklar:</t>
  </si>
  <si>
    <t>Emekli Kes.Karş.(Artış %100)</t>
  </si>
  <si>
    <t>Gelir Vergisi İstisna Limiti</t>
  </si>
  <si>
    <t>Ayrılış Tar/Çalışılan Gün</t>
  </si>
  <si>
    <t>II- EMEKLİ KESENEKLERİ/
SİGORTA PRİMLERİ***
(Kişi Payları)</t>
  </si>
  <si>
    <t>Sözleşme Ücreti</t>
  </si>
  <si>
    <t>Aylık Vergi Matrahı Ödenen Bordro</t>
  </si>
  <si>
    <t>Hesaplanan Gelir Vergisi</t>
  </si>
  <si>
    <t>Kesilecek Gelir Vergisi</t>
  </si>
  <si>
    <t>GELİR VERGİSİ HESAPLAMA</t>
  </si>
  <si>
    <t>1.900.000 +</t>
  </si>
  <si>
    <t>%15 Vergi Dilimi</t>
  </si>
  <si>
    <t>%20 Vergi Dilimi</t>
  </si>
  <si>
    <t>%27 Vergi Dilimi</t>
  </si>
  <si>
    <t>%35 Vergi Dilimi</t>
  </si>
  <si>
    <t>%40 Vergi Dilimi</t>
  </si>
  <si>
    <t>43.000 +</t>
  </si>
  <si>
    <t>44.700 +</t>
  </si>
  <si>
    <t>50.000 +</t>
  </si>
  <si>
    <t>80.000 +</t>
  </si>
  <si>
    <t>88.000 +</t>
  </si>
  <si>
    <t>94.000 +</t>
  </si>
  <si>
    <t>97.000 +</t>
  </si>
  <si>
    <t>106.000 +</t>
  </si>
  <si>
    <t>110.000 +</t>
  </si>
  <si>
    <t>120.000 +</t>
  </si>
  <si>
    <t>148.000 +</t>
  </si>
  <si>
    <t>600.000 +</t>
  </si>
  <si>
    <t>650.00 +</t>
  </si>
  <si>
    <t>880.000 +</t>
  </si>
  <si>
    <t>3.000.000 +</t>
  </si>
  <si>
    <t>4.300.000 +</t>
  </si>
  <si>
    <t>https://muhasebat.hmb.gov.tr/83-sira-nolu-mgm-genel-tebligi</t>
  </si>
  <si>
    <t>Gelir Vergisi Dilimleri</t>
  </si>
  <si>
    <t>Engelli İndirimi</t>
  </si>
  <si>
    <t>1. Derece %80 ve Üzeri</t>
  </si>
  <si>
    <t>2. Derece %60 ve Üzeri</t>
  </si>
  <si>
    <t>3. Derece %40 ve Üzeri</t>
  </si>
  <si>
    <t>Engelli Gelir Vergisi İndirimi</t>
  </si>
  <si>
    <t>Engelli Gelir Vergisi Matrahından Düşülecek Tutar</t>
  </si>
  <si>
    <t>Özel Sağ. Sigortası</t>
  </si>
  <si>
    <t>Özel Sağ. Sig. Poliçe Tutarı</t>
  </si>
  <si>
    <t>Özel Sağ. Sig. Gelir Vergisi Matrahından Düşülecek Tutar</t>
  </si>
  <si>
    <t>Gelir Vergisi Detayı</t>
  </si>
  <si>
    <t>Sendika Kesintisi İade Edilsin mi?</t>
  </si>
  <si>
    <t>Ödenen Bordro Sendika Kesintisi Tutarı</t>
  </si>
  <si>
    <t>Ödenmesi Gereken Bordro Sendika Kesintisi Tutarı</t>
  </si>
  <si>
    <t>Tablonun Tamamında Sarı Dolgulu Hücrelere Verilerinizi Giriniz.</t>
  </si>
  <si>
    <t>Bilgi için: Mehmet TOKTAŞ</t>
  </si>
  <si>
    <t>Yersiz Ödenen Maaş</t>
  </si>
  <si>
    <t>İade Edilmesin</t>
  </si>
  <si>
    <t>Gelir Vergisi İstisna Tutarı Manuel Giriş</t>
  </si>
  <si>
    <t>Gelir Vergisi İstisna Tutarı Otomatik Getirilen</t>
  </si>
  <si>
    <t>Eğitim Öğretim Tazminatı</t>
  </si>
  <si>
    <t>Bölge Tazminatı</t>
  </si>
  <si>
    <t>İdari Görev Ödeneği</t>
  </si>
  <si>
    <t>Eğitim Öğretim Ödeneği</t>
  </si>
  <si>
    <t>Geliştirme Ödeneği</t>
  </si>
  <si>
    <t>Akademik Teşvik</t>
  </si>
  <si>
    <t>Yüksek Öğrenim Tazminatı</t>
  </si>
  <si>
    <t>Ek Ödeme (666 KHK)</t>
  </si>
  <si>
    <t>Toplu Sözleşme Des./İkram.*</t>
  </si>
  <si>
    <t>İlave Ücret</t>
  </si>
  <si>
    <t>Sosyal Denge Tazminatı</t>
  </si>
  <si>
    <t>Tayin Bedeli</t>
  </si>
  <si>
    <t>Sağlık Taban Ödeme</t>
  </si>
  <si>
    <t>Sağlık Ek Ödeme Nisb</t>
  </si>
  <si>
    <t>Oyak Kesintisi İade Edilsin mi?</t>
  </si>
  <si>
    <t>Ödenen Bordro Oyak Kesintisi Tutarı</t>
  </si>
  <si>
    <t>Ödenmesi Gereken Bordro Oyak Kesintisi Tutarı</t>
  </si>
  <si>
    <t>Hayır</t>
  </si>
  <si>
    <r>
      <rPr>
        <b/>
        <sz val="9.5"/>
        <rFont val="Calibri"/>
        <family val="2"/>
      </rPr>
      <t>AYLIKLARDAN GERİ ALINACAK TUTARI HESAPLAMA TABLOSU</t>
    </r>
  </si>
  <si>
    <r>
      <rPr>
        <b/>
        <sz val="9.5"/>
        <rFont val="Calibri"/>
        <family val="2"/>
      </rPr>
      <t>A- PERSONEL BİLGİLERİ</t>
    </r>
  </si>
  <si>
    <r>
      <rPr>
        <sz val="7.5"/>
        <rFont val="Times New Roman"/>
        <family val="1"/>
      </rPr>
      <t>Harcama Birimi Adı</t>
    </r>
  </si>
  <si>
    <r>
      <rPr>
        <sz val="7.5"/>
        <rFont val="Calibri"/>
        <family val="2"/>
      </rPr>
      <t>VKN</t>
    </r>
  </si>
  <si>
    <r>
      <rPr>
        <sz val="7.5"/>
        <rFont val="Calibri"/>
        <family val="2"/>
      </rPr>
      <t>Muhasebe Birimi Adı</t>
    </r>
  </si>
  <si>
    <r>
      <rPr>
        <sz val="7.5"/>
        <rFont val="Calibri"/>
        <family val="2"/>
      </rPr>
      <t>Borçlunun Adı Soyadı</t>
    </r>
  </si>
  <si>
    <r>
      <rPr>
        <sz val="7.5"/>
        <rFont val="Calibri"/>
        <family val="2"/>
      </rPr>
      <t>Ünvanı</t>
    </r>
  </si>
  <si>
    <r>
      <rPr>
        <sz val="7.5"/>
        <rFont val="Calibri"/>
        <family val="2"/>
      </rPr>
      <t>Sicil / T.C. Kimlik No</t>
    </r>
  </si>
  <si>
    <r>
      <rPr>
        <sz val="7.5"/>
        <rFont val="Calibri"/>
        <family val="2"/>
      </rPr>
      <t>Borcun Nedeni</t>
    </r>
  </si>
  <si>
    <r>
      <rPr>
        <sz val="7.5"/>
        <rFont val="Calibri"/>
        <family val="2"/>
      </rPr>
      <t>Tebliğ Tarihi</t>
    </r>
  </si>
  <si>
    <r>
      <rPr>
        <sz val="7.5"/>
        <rFont val="Calibri"/>
        <family val="2"/>
      </rPr>
      <t>Aylık Dönemi</t>
    </r>
  </si>
  <si>
    <r>
      <rPr>
        <sz val="7.5"/>
        <rFont val="Calibri"/>
        <family val="2"/>
      </rPr>
      <t>Ayrılış Tarihi</t>
    </r>
  </si>
  <si>
    <r>
      <rPr>
        <sz val="7.5"/>
        <rFont val="Calibri"/>
        <family val="2"/>
      </rPr>
      <t>Faiz Başlangıç Tarihi</t>
    </r>
  </si>
  <si>
    <r>
      <rPr>
        <sz val="7.5"/>
        <rFont val="Calibri"/>
        <family val="2"/>
      </rPr>
      <t>Gelir Vergisi İstisnası</t>
    </r>
  </si>
  <si>
    <r>
      <rPr>
        <sz val="7.5"/>
        <rFont val="Calibri"/>
        <family val="2"/>
      </rPr>
      <t>Hesaplanan Gelir Vergisi</t>
    </r>
  </si>
  <si>
    <r>
      <rPr>
        <sz val="7.5"/>
        <rFont val="Calibri"/>
        <family val="2"/>
      </rPr>
      <t>Ayın Gün Sayısı (Aylık, Vergi)</t>
    </r>
  </si>
  <si>
    <r>
      <rPr>
        <sz val="7.5"/>
        <rFont val="Calibri"/>
        <family val="2"/>
      </rPr>
      <t>Ayın Gün Sayısı (SGK prim)</t>
    </r>
  </si>
  <si>
    <r>
      <rPr>
        <sz val="7.5"/>
        <rFont val="Calibri"/>
        <family val="2"/>
      </rPr>
      <t>Çalışılan Gün Sayısı</t>
    </r>
  </si>
  <si>
    <r>
      <rPr>
        <sz val="7.5"/>
        <rFont val="Calibri"/>
        <family val="2"/>
      </rPr>
      <t>Çalışılmayan Gün Sayısı</t>
    </r>
  </si>
  <si>
    <r>
      <rPr>
        <sz val="7.5"/>
        <rFont val="Calibri"/>
        <family val="2"/>
      </rPr>
      <t>Aylık Vergi Matrahı</t>
    </r>
  </si>
  <si>
    <r>
      <rPr>
        <sz val="7.5"/>
        <rFont val="Calibri"/>
        <family val="2"/>
      </rPr>
      <t>Vergi Oranı</t>
    </r>
  </si>
  <si>
    <t>Gelir Vergisi Matrahından Sgk Kişi Payları Dışında İndirilmesi Gereken Tutar</t>
  </si>
  <si>
    <r>
      <rPr>
        <sz val="7.5"/>
        <rFont val="Calibri"/>
        <family val="2"/>
      </rPr>
      <t>Adresi</t>
    </r>
  </si>
  <si>
    <r>
      <rPr>
        <b/>
        <sz val="8"/>
        <rFont val="Times New Roman"/>
        <family val="1"/>
      </rPr>
      <t>B- AYLIK BİLGİLERİ</t>
    </r>
  </si>
  <si>
    <r>
      <rPr>
        <b/>
        <sz val="8"/>
        <rFont val="Times New Roman"/>
        <family val="1"/>
      </rPr>
      <t xml:space="preserve">ÖDENEN
</t>
    </r>
    <r>
      <rPr>
        <b/>
        <sz val="8"/>
        <rFont val="Times New Roman"/>
        <family val="1"/>
      </rPr>
      <t>a</t>
    </r>
  </si>
  <si>
    <r>
      <rPr>
        <b/>
        <sz val="8"/>
        <rFont val="Calibri"/>
        <family val="2"/>
      </rPr>
      <t xml:space="preserve">HAK EDİLEN
</t>
    </r>
    <r>
      <rPr>
        <b/>
        <sz val="8"/>
        <rFont val="Calibri"/>
        <family val="2"/>
      </rPr>
      <t>b=(a/Ödemenin yapıldığı aydaki gün sayısı)*Çalışılan gün sayısı</t>
    </r>
  </si>
  <si>
    <r>
      <rPr>
        <b/>
        <sz val="8"/>
        <rFont val="Calibri"/>
        <family val="2"/>
      </rPr>
      <t xml:space="preserve">HAK
</t>
    </r>
    <r>
      <rPr>
        <b/>
        <sz val="8"/>
        <rFont val="Calibri"/>
        <family val="2"/>
      </rPr>
      <t xml:space="preserve">EDİLMEYEN
</t>
    </r>
    <r>
      <rPr>
        <b/>
        <sz val="8"/>
        <rFont val="Calibri"/>
        <family val="2"/>
      </rPr>
      <t>c=(a-b)</t>
    </r>
  </si>
  <si>
    <r>
      <rPr>
        <b/>
        <sz val="7.5"/>
        <rFont val="Calibri"/>
        <family val="2"/>
      </rPr>
      <t>I-HAK EDİLEN VE HAK EDİLMEYEN AYLIK TUTARLARI</t>
    </r>
  </si>
  <si>
    <r>
      <rPr>
        <sz val="8"/>
        <rFont val="Calibri"/>
        <family val="2"/>
      </rPr>
      <t>Aylık Tutar</t>
    </r>
  </si>
  <si>
    <r>
      <rPr>
        <sz val="8"/>
        <rFont val="Calibri"/>
        <family val="2"/>
      </rPr>
      <t>Taban Aylığı</t>
    </r>
  </si>
  <si>
    <r>
      <rPr>
        <sz val="8"/>
        <rFont val="Calibri"/>
        <family val="2"/>
      </rPr>
      <t>Kıdem Aylığı</t>
    </r>
  </si>
  <si>
    <r>
      <rPr>
        <sz val="8"/>
        <rFont val="Calibri"/>
        <family val="2"/>
      </rPr>
      <t>Ek Gösterge</t>
    </r>
  </si>
  <si>
    <r>
      <rPr>
        <sz val="8"/>
        <rFont val="Calibri"/>
        <family val="2"/>
      </rPr>
      <t>Yan Ödeme</t>
    </r>
  </si>
  <si>
    <r>
      <rPr>
        <sz val="8"/>
        <rFont val="Calibri"/>
        <family val="2"/>
      </rPr>
      <t>Aile Yardımı (Eş için)</t>
    </r>
  </si>
  <si>
    <r>
      <rPr>
        <sz val="8"/>
        <rFont val="Calibri"/>
        <family val="2"/>
      </rPr>
      <t>Aile Yardımı (Çocuk için)</t>
    </r>
  </si>
  <si>
    <r>
      <rPr>
        <sz val="8"/>
        <rFont val="Calibri"/>
        <family val="2"/>
      </rPr>
      <t>Toplu Sözleşme İkramiyesi</t>
    </r>
  </si>
  <si>
    <r>
      <rPr>
        <sz val="8"/>
        <rFont val="Calibri"/>
        <family val="2"/>
      </rPr>
      <t>Geliştirme Ödeneği</t>
    </r>
  </si>
  <si>
    <r>
      <rPr>
        <sz val="8"/>
        <rFont val="Calibri"/>
        <family val="2"/>
      </rPr>
      <t>Özel Hizmet Tazminatı</t>
    </r>
  </si>
  <si>
    <r>
      <rPr>
        <sz val="8"/>
        <rFont val="Calibri"/>
        <family val="2"/>
      </rPr>
      <t>Ücret Tutarı</t>
    </r>
  </si>
  <si>
    <r>
      <rPr>
        <sz val="8"/>
        <rFont val="Calibri"/>
        <family val="2"/>
      </rPr>
      <t>Tazminat Tutarı</t>
    </r>
  </si>
  <si>
    <r>
      <rPr>
        <sz val="8"/>
        <rFont val="Calibri"/>
        <family val="2"/>
      </rPr>
      <t>Ek Ödeme(sabit)</t>
    </r>
  </si>
  <si>
    <r>
      <rPr>
        <sz val="8"/>
        <rFont val="Calibri"/>
        <family val="2"/>
      </rPr>
      <t>Üniversite Ödeneği</t>
    </r>
  </si>
  <si>
    <r>
      <rPr>
        <sz val="8"/>
        <rFont val="Calibri"/>
        <family val="2"/>
      </rPr>
      <t>Yargı Ödeneği</t>
    </r>
  </si>
  <si>
    <r>
      <rPr>
        <sz val="8"/>
        <rFont val="Calibri"/>
        <family val="2"/>
      </rPr>
      <t>İlave ödeme</t>
    </r>
  </si>
  <si>
    <r>
      <rPr>
        <sz val="8"/>
        <rFont val="Calibri"/>
        <family val="2"/>
      </rPr>
      <t>Diğer</t>
    </r>
  </si>
  <si>
    <r>
      <rPr>
        <b/>
        <sz val="7.5"/>
        <rFont val="Calibri"/>
        <family val="2"/>
      </rPr>
      <t>TOPLAM</t>
    </r>
  </si>
  <si>
    <r>
      <rPr>
        <b/>
        <sz val="8"/>
        <rFont val="Times New Roman"/>
        <family val="1"/>
      </rPr>
      <t>C-PRİMLER</t>
    </r>
  </si>
  <si>
    <r>
      <rPr>
        <b/>
        <sz val="8"/>
        <rFont val="Calibri"/>
        <family val="2"/>
      </rPr>
      <t>Prim Türü</t>
    </r>
  </si>
  <si>
    <r>
      <rPr>
        <b/>
        <sz val="8"/>
        <rFont val="Calibri"/>
        <family val="2"/>
      </rPr>
      <t xml:space="preserve">Ödenen
</t>
    </r>
    <r>
      <rPr>
        <b/>
        <sz val="8"/>
        <rFont val="Calibri"/>
        <family val="2"/>
      </rPr>
      <t>Prim (a)</t>
    </r>
  </si>
  <si>
    <r>
      <rPr>
        <b/>
        <sz val="8"/>
        <rFont val="Calibri"/>
        <family val="2"/>
      </rPr>
      <t>Çalışılan Süreye Göre Hesaplanan Prim Tutarı= (a/30*Çalışılan Gün Sayısı)</t>
    </r>
  </si>
  <si>
    <r>
      <rPr>
        <b/>
        <sz val="8"/>
        <rFont val="Calibri"/>
        <family val="2"/>
      </rPr>
      <t>Hak edilmeyen c=(a b)</t>
    </r>
  </si>
  <si>
    <r>
      <rPr>
        <b/>
        <sz val="7.5"/>
        <rFont val="Calibri"/>
        <family val="2"/>
      </rPr>
      <t>II-EMEKLİ KESENEKLERİ/ SİGORTA PRİMLERİ</t>
    </r>
  </si>
  <si>
    <r>
      <rPr>
        <sz val="8"/>
        <rFont val="Calibri"/>
        <family val="2"/>
      </rPr>
      <t>Emek. Kes. Karşılığı  (Devlet)</t>
    </r>
  </si>
  <si>
    <r>
      <rPr>
        <sz val="8"/>
        <rFont val="Calibri"/>
        <family val="2"/>
      </rPr>
      <t>Genel Sağlık Sigortası (Devlet)</t>
    </r>
  </si>
  <si>
    <r>
      <rPr>
        <sz val="8"/>
        <rFont val="Calibri"/>
        <family val="2"/>
      </rPr>
      <t>Emek. Kes. %100 Artış Karşılığı  (Devlet</t>
    </r>
  </si>
  <si>
    <r>
      <rPr>
        <sz val="8"/>
        <rFont val="Calibri"/>
        <family val="2"/>
      </rPr>
      <t>Emek. Kes.   (Kişi)</t>
    </r>
  </si>
  <si>
    <r>
      <rPr>
        <sz val="8"/>
        <rFont val="Calibri"/>
        <family val="2"/>
      </rPr>
      <t>Emek. Kes. %100 Artış  (Kişi)</t>
    </r>
  </si>
  <si>
    <r>
      <rPr>
        <b/>
        <sz val="8"/>
        <rFont val="Times New Roman"/>
        <family val="1"/>
      </rPr>
      <t>D- VERGİLER</t>
    </r>
  </si>
  <si>
    <r>
      <rPr>
        <b/>
        <sz val="7.5"/>
        <rFont val="Calibri"/>
        <family val="2"/>
      </rPr>
      <t>III-VERGİ KESİNTİLERİ</t>
    </r>
  </si>
  <si>
    <r>
      <rPr>
        <b/>
        <sz val="8"/>
        <rFont val="Calibri"/>
        <family val="2"/>
      </rPr>
      <t>Vegi Adı</t>
    </r>
  </si>
  <si>
    <r>
      <rPr>
        <b/>
        <sz val="8"/>
        <rFont val="Calibri"/>
        <family val="2"/>
      </rPr>
      <t>Kesilen Vergi Tutarı</t>
    </r>
  </si>
  <si>
    <r>
      <rPr>
        <b/>
        <sz val="8"/>
        <rFont val="Calibri"/>
        <family val="2"/>
      </rPr>
      <t xml:space="preserve">Çalışılan güne göre  vergi
</t>
    </r>
    <r>
      <rPr>
        <b/>
        <sz val="8"/>
        <rFont val="Calibri"/>
        <family val="2"/>
      </rPr>
      <t>matrahı</t>
    </r>
  </si>
  <si>
    <r>
      <rPr>
        <b/>
        <sz val="8"/>
        <rFont val="Calibri"/>
        <family val="2"/>
      </rPr>
      <t>Çalışılan güne göre  kesilmesi gereken vergi tutarı</t>
    </r>
  </si>
  <si>
    <r>
      <rPr>
        <b/>
        <sz val="8"/>
        <rFont val="Calibri"/>
        <family val="2"/>
      </rPr>
      <t xml:space="preserve">Yersiz Kesilen Vergi
</t>
    </r>
    <r>
      <rPr>
        <b/>
        <sz val="8"/>
        <rFont val="Calibri"/>
        <family val="2"/>
      </rPr>
      <t>Tutarı</t>
    </r>
  </si>
  <si>
    <r>
      <rPr>
        <sz val="8"/>
        <rFont val="Calibri"/>
        <family val="2"/>
      </rPr>
      <t>Gelir Vergisi</t>
    </r>
  </si>
  <si>
    <r>
      <rPr>
        <sz val="8"/>
        <rFont val="Calibri"/>
        <family val="2"/>
      </rPr>
      <t>Damga Vergisi</t>
    </r>
  </si>
  <si>
    <r>
      <rPr>
        <b/>
        <sz val="8"/>
        <rFont val="Times New Roman"/>
        <family val="1"/>
      </rPr>
      <t>E- BORÇ TUTARI</t>
    </r>
  </si>
  <si>
    <r>
      <rPr>
        <b/>
        <sz val="7.5"/>
        <rFont val="Calibri"/>
        <family val="2"/>
      </rPr>
      <t>IV-  BORÇ TUTARI</t>
    </r>
  </si>
  <si>
    <t>Memuriyetin Sona Ermesi</t>
  </si>
  <si>
    <t>Faiz BaşTar / SGK Prim.</t>
  </si>
  <si>
    <t>Gelir V.İst / Ayın Gün S.</t>
  </si>
  <si>
    <t>Emekli Kes.(Artış %100 Kişi)</t>
  </si>
  <si>
    <t>Aylıksız İzin - GSSP Kesilen</t>
  </si>
  <si>
    <t>SGK Primleri</t>
  </si>
  <si>
    <t>Askerlik - Bakmakla Yükümlü Olduğu Kişi Var</t>
  </si>
  <si>
    <t>Askerlik - Bakmakla Yükümlü Olduğu Kişi Yok</t>
  </si>
  <si>
    <t>Primler Gönderildi</t>
  </si>
  <si>
    <t>V.H.K.İ</t>
  </si>
  <si>
    <t>Şube Müdürü</t>
  </si>
  <si>
    <t>İlçe Müftüsü</t>
  </si>
  <si>
    <t>Bilgi İçin: Mehmet TOKTAŞ</t>
  </si>
  <si>
    <t xml:space="preserve">Adres: </t>
  </si>
  <si>
    <t>T.C. HAZİNE VE MALİYE BAKANLIĞI MUHASEBAT GENEL MÜDÜRLÜĞÜ GENEL TEBLİĞİ (SIRA NO 83)</t>
  </si>
  <si>
    <t>Ali SAVAŞ</t>
  </si>
  <si>
    <t>Veri Giriş Görevlisi</t>
  </si>
  <si>
    <t>Mehmet TOKTAŞ</t>
  </si>
  <si>
    <t>Akif ARIKMERT</t>
  </si>
  <si>
    <t>Ünvanı /E.E. Kanun Sayısı</t>
  </si>
  <si>
    <t>Memur</t>
  </si>
  <si>
    <t>Aylıksız İzin - GSSP Kesilmeyen</t>
  </si>
  <si>
    <t>Borcu Tebellüğ Eden</t>
  </si>
  <si>
    <t>Geçen Aylar Vergi Matrahı Ödenen Bordro</t>
  </si>
  <si>
    <t>Kesenekler ve Üsttekiler hariç G.V. Matrahından Düşülecek Tutar</t>
  </si>
  <si>
    <t>Aylık Vergi Matrahı Ödenmesi Gereken Bordro</t>
  </si>
  <si>
    <t>Yersiz Ödenen Aile Yardımı (Eş İçin)</t>
  </si>
  <si>
    <t>Yersiz Ödenen Aile Yardımı (Çocuk İçin)</t>
  </si>
  <si>
    <t>Yersiz Ödenen Aile Yardımı (Eş ve Çocuk İçin)</t>
  </si>
  <si>
    <t>Genel Bütçeli İdare</t>
  </si>
  <si>
    <t>5.300.000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</si>
</sst>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F]mmmm\ yy;@"/>
    <numFmt numFmtId="165" formatCode="dd/mm/yyyy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u/>
      <sz val="11"/>
      <color theme="10"/>
      <name val="Calibri"/>
      <family val="2"/>
      <scheme val="minor"/>
    </font>
    <font>
      <b/>
      <sz val="11"/>
      <color theme="8" tint="-0.249977111117893"/>
      <name val="Calibri"/>
      <family val="2"/>
      <charset val="162"/>
      <scheme val="minor"/>
    </font>
    <font>
      <b/>
      <u/>
      <sz val="11"/>
      <color theme="10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charset val="1"/>
    </font>
    <font>
      <sz val="10"/>
      <name val="Arial"/>
      <family val="2"/>
      <charset val="162"/>
    </font>
    <font>
      <u/>
      <sz val="11"/>
      <color theme="10"/>
      <name val="Calibri"/>
      <family val="2"/>
      <charset val="1"/>
    </font>
    <font>
      <b/>
      <sz val="12"/>
      <color theme="0"/>
      <name val="Calibri"/>
      <family val="2"/>
      <charset val="162"/>
      <scheme val="minor"/>
    </font>
    <font>
      <u/>
      <sz val="11"/>
      <color rgb="FF0563C1"/>
      <name val="Calibri"/>
      <family val="2"/>
      <charset val="1"/>
    </font>
    <font>
      <b/>
      <sz val="11"/>
      <color rgb="FF2F5597"/>
      <name val="Calibri"/>
      <family val="2"/>
      <charset val="162"/>
    </font>
    <font>
      <b/>
      <sz val="12"/>
      <name val="Calibri"/>
      <family val="2"/>
      <charset val="162"/>
      <scheme val="minor"/>
    </font>
    <font>
      <b/>
      <sz val="9.5"/>
      <name val="Calibri"/>
      <family val="2"/>
      <charset val="162"/>
    </font>
    <font>
      <b/>
      <sz val="9.5"/>
      <name val="Calibri"/>
      <family val="2"/>
    </font>
    <font>
      <sz val="7.5"/>
      <name val="Times New Roman"/>
      <family val="1"/>
      <charset val="162"/>
    </font>
    <font>
      <sz val="7.5"/>
      <name val="Times New Roman"/>
      <family val="1"/>
    </font>
    <font>
      <sz val="7.5"/>
      <name val="Calibri"/>
      <family val="2"/>
      <charset val="162"/>
    </font>
    <font>
      <sz val="7.5"/>
      <name val="Calibri"/>
      <family val="2"/>
    </font>
    <font>
      <b/>
      <sz val="8"/>
      <name val="Times New Roman"/>
      <family val="1"/>
      <charset val="162"/>
    </font>
    <font>
      <b/>
      <sz val="8"/>
      <name val="Times New Roman"/>
      <family val="1"/>
    </font>
    <font>
      <b/>
      <sz val="8"/>
      <name val="Calibri"/>
      <family val="2"/>
    </font>
    <font>
      <b/>
      <sz val="7.5"/>
      <name val="Calibri"/>
      <family val="2"/>
      <charset val="162"/>
    </font>
    <font>
      <b/>
      <sz val="7.5"/>
      <name val="Calibri"/>
      <family val="2"/>
    </font>
    <font>
      <sz val="8"/>
      <name val="Calibri"/>
      <family val="2"/>
      <charset val="162"/>
    </font>
    <font>
      <sz val="8"/>
      <name val="Calibri"/>
      <family val="2"/>
    </font>
    <font>
      <b/>
      <sz val="9.5"/>
      <color rgb="FF000000"/>
      <name val="Calibri"/>
      <family val="2"/>
    </font>
    <font>
      <b/>
      <sz val="8"/>
      <name val="Calibri"/>
      <family val="2"/>
      <charset val="162"/>
    </font>
    <font>
      <b/>
      <sz val="9"/>
      <color indexed="81"/>
      <name val="Tahoma"/>
      <family val="2"/>
      <charset val="162"/>
    </font>
    <font>
      <b/>
      <i/>
      <sz val="12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5B9BD5"/>
        <bgColor rgb="FF969696"/>
      </patternFill>
    </fill>
    <fill>
      <patternFill patternType="solid">
        <fgColor rgb="FFFFC000"/>
        <bgColor rgb="FFFF99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 applyNumberFormat="0" applyFill="0" applyBorder="0" applyAlignment="0" applyProtection="0"/>
    <xf numFmtId="0" fontId="14" fillId="0" borderId="0" applyBorder="0" applyProtection="0"/>
    <xf numFmtId="0" fontId="14" fillId="0" borderId="0" applyBorder="0" applyProtection="0"/>
  </cellStyleXfs>
  <cellXfs count="14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horizontal="center" vertical="center"/>
      <protection locked="0"/>
    </xf>
    <xf numFmtId="0" fontId="7" fillId="0" borderId="0" xfId="1" applyFont="1" applyBorder="1" applyProtection="1"/>
    <xf numFmtId="0" fontId="6" fillId="0" borderId="0" xfId="1" applyFont="1" applyBorder="1" applyProtection="1"/>
    <xf numFmtId="4" fontId="0" fillId="0" borderId="0" xfId="0" applyNumberFormat="1" applyProtection="1">
      <protection locked="0"/>
    </xf>
    <xf numFmtId="0" fontId="10" fillId="0" borderId="0" xfId="2"/>
    <xf numFmtId="0" fontId="10" fillId="0" borderId="1" xfId="2" applyBorder="1" applyProtection="1">
      <protection locked="0"/>
    </xf>
    <xf numFmtId="0" fontId="10" fillId="4" borderId="1" xfId="2" applyFill="1" applyBorder="1"/>
    <xf numFmtId="0" fontId="10" fillId="5" borderId="1" xfId="2" applyFill="1" applyBorder="1"/>
    <xf numFmtId="0" fontId="10" fillId="5" borderId="1" xfId="2" applyFill="1" applyBorder="1" applyProtection="1">
      <protection locked="0"/>
    </xf>
    <xf numFmtId="0" fontId="10" fillId="0" borderId="1" xfId="2" applyBorder="1"/>
    <xf numFmtId="3" fontId="10" fillId="0" borderId="1" xfId="2" applyNumberFormat="1" applyBorder="1"/>
    <xf numFmtId="3" fontId="10" fillId="0" borderId="1" xfId="2" applyNumberFormat="1" applyBorder="1" applyProtection="1">
      <protection locked="0"/>
    </xf>
    <xf numFmtId="0" fontId="15" fillId="0" borderId="0" xfId="11" applyFont="1" applyBorder="1" applyProtection="1"/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7" borderId="1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0" fillId="2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3" fillId="7" borderId="1" xfId="0" applyNumberFormat="1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/>
    </xf>
    <xf numFmtId="4" fontId="0" fillId="7" borderId="1" xfId="0" applyNumberForma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0" fillId="6" borderId="4" xfId="2" applyFill="1" applyBorder="1"/>
    <xf numFmtId="0" fontId="10" fillId="5" borderId="4" xfId="2" applyFill="1" applyBorder="1"/>
    <xf numFmtId="0" fontId="10" fillId="4" borderId="4" xfId="2" applyFill="1" applyBorder="1"/>
    <xf numFmtId="0" fontId="10" fillId="8" borderId="4" xfId="2" applyFill="1" applyBorder="1" applyProtection="1">
      <protection locked="0"/>
    </xf>
    <xf numFmtId="4" fontId="0" fillId="0" borderId="1" xfId="0" applyNumberFormat="1" applyBorder="1" applyAlignment="1">
      <alignment horizontal="right" vertical="center"/>
    </xf>
    <xf numFmtId="4" fontId="0" fillId="0" borderId="0" xfId="0" applyNumberFormat="1" applyAlignment="1" applyProtection="1">
      <alignment vertical="center"/>
      <protection locked="0"/>
    </xf>
    <xf numFmtId="4" fontId="0" fillId="9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8" xfId="0" applyBorder="1" applyAlignment="1">
      <alignment horizontal="center" vertical="top" wrapText="1"/>
    </xf>
    <xf numFmtId="0" fontId="26" fillId="0" borderId="8" xfId="0" applyFont="1" applyBorder="1" applyAlignment="1">
      <alignment horizontal="center" vertical="top" wrapText="1"/>
    </xf>
    <xf numFmtId="1" fontId="30" fillId="0" borderId="8" xfId="0" applyNumberFormat="1" applyFont="1" applyBorder="1" applyAlignment="1">
      <alignment horizontal="right" vertical="top" shrinkToFit="1"/>
    </xf>
    <xf numFmtId="0" fontId="31" fillId="0" borderId="8" xfId="0" applyFont="1" applyBorder="1" applyAlignment="1">
      <alignment horizontal="left" vertical="top" wrapText="1"/>
    </xf>
    <xf numFmtId="0" fontId="31" fillId="0" borderId="8" xfId="0" applyFont="1" applyBorder="1" applyAlignment="1">
      <alignment horizontal="left" vertical="top" wrapText="1" indent="1"/>
    </xf>
    <xf numFmtId="0" fontId="31" fillId="0" borderId="8" xfId="0" applyFont="1" applyBorder="1" applyAlignment="1">
      <alignment horizontal="center" vertical="top" wrapText="1"/>
    </xf>
    <xf numFmtId="0" fontId="0" fillId="0" borderId="1" xfId="0" applyBorder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4" fontId="0" fillId="0" borderId="3" xfId="0" applyNumberFormat="1" applyBorder="1"/>
    <xf numFmtId="0" fontId="3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" fontId="0" fillId="0" borderId="2" xfId="0" applyNumberFormat="1" applyBorder="1" applyAlignment="1">
      <alignment vertical="center"/>
    </xf>
    <xf numFmtId="0" fontId="3" fillId="7" borderId="12" xfId="0" applyFont="1" applyFill="1" applyBorder="1" applyAlignment="1">
      <alignment vertical="center"/>
    </xf>
    <xf numFmtId="0" fontId="3" fillId="7" borderId="4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3" xfId="0" applyBorder="1" applyProtection="1">
      <protection locked="0"/>
    </xf>
    <xf numFmtId="0" fontId="0" fillId="10" borderId="1" xfId="0" applyFill="1" applyBorder="1" applyAlignment="1" applyProtection="1">
      <alignment vertical="center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4" fontId="0" fillId="10" borderId="1" xfId="0" applyNumberFormat="1" applyFill="1" applyBorder="1" applyAlignment="1" applyProtection="1">
      <alignment horizontal="center" vertical="center"/>
      <protection locked="0"/>
    </xf>
    <xf numFmtId="4" fontId="0" fillId="10" borderId="1" xfId="0" applyNumberFormat="1" applyFill="1" applyBorder="1" applyAlignment="1" applyProtection="1">
      <alignment vertical="center"/>
      <protection locked="0"/>
    </xf>
    <xf numFmtId="4" fontId="0" fillId="10" borderId="2" xfId="0" applyNumberFormat="1" applyFill="1" applyBorder="1" applyAlignment="1" applyProtection="1">
      <alignment vertical="center"/>
      <protection locked="0"/>
    </xf>
    <xf numFmtId="4" fontId="0" fillId="11" borderId="1" xfId="0" applyNumberFormat="1" applyFill="1" applyBorder="1" applyAlignment="1">
      <alignment vertical="center"/>
    </xf>
    <xf numFmtId="4" fontId="0" fillId="11" borderId="2" xfId="0" applyNumberFormat="1" applyFill="1" applyBorder="1" applyAlignment="1">
      <alignment vertical="center"/>
    </xf>
    <xf numFmtId="4" fontId="0" fillId="2" borderId="1" xfId="0" applyNumberFormat="1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164" fontId="0" fillId="10" borderId="1" xfId="0" applyNumberFormat="1" applyFill="1" applyBorder="1" applyAlignment="1" applyProtection="1">
      <alignment horizontal="center" vertical="center"/>
      <protection locked="0"/>
    </xf>
    <xf numFmtId="0" fontId="10" fillId="0" borderId="2" xfId="2" applyBorder="1"/>
    <xf numFmtId="4" fontId="34" fillId="10" borderId="1" xfId="0" applyNumberFormat="1" applyFont="1" applyFill="1" applyBorder="1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165" fontId="0" fillId="10" borderId="1" xfId="0" applyNumberFormat="1" applyFill="1" applyBorder="1" applyAlignment="1" applyProtection="1">
      <alignment horizontal="center" vertical="center"/>
      <protection locked="0"/>
    </xf>
    <xf numFmtId="0" fontId="4" fillId="7" borderId="12" xfId="0" applyFont="1" applyFill="1" applyBorder="1" applyAlignment="1">
      <alignment horizontal="center" vertical="center"/>
    </xf>
    <xf numFmtId="4" fontId="4" fillId="7" borderId="4" xfId="0" applyNumberFormat="1" applyFont="1" applyFill="1" applyBorder="1" applyAlignment="1">
      <alignment vertical="center"/>
    </xf>
    <xf numFmtId="4" fontId="3" fillId="7" borderId="14" xfId="0" applyNumberFormat="1" applyFont="1" applyFill="1" applyBorder="1" applyAlignment="1">
      <alignment vertical="center"/>
    </xf>
    <xf numFmtId="4" fontId="4" fillId="7" borderId="1" xfId="0" applyNumberFormat="1" applyFont="1" applyFill="1" applyBorder="1" applyAlignment="1">
      <alignment horizontal="center" vertical="center" wrapText="1"/>
    </xf>
    <xf numFmtId="4" fontId="4" fillId="10" borderId="12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" xfId="2" applyNumberFormat="1" applyBorder="1"/>
    <xf numFmtId="4" fontId="10" fillId="0" borderId="1" xfId="2" applyNumberFormat="1" applyBorder="1" applyProtection="1"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" fillId="7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10" borderId="1" xfId="0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1" fillId="10" borderId="1" xfId="0" applyFont="1" applyFill="1" applyBorder="1" applyAlignment="1" applyProtection="1">
      <alignment vertical="top" wrapText="1"/>
      <protection locked="0"/>
    </xf>
    <xf numFmtId="0" fontId="0" fillId="10" borderId="1" xfId="0" applyFill="1" applyBorder="1" applyAlignment="1" applyProtection="1">
      <alignment vertical="top"/>
      <protection locked="0"/>
    </xf>
    <xf numFmtId="0" fontId="13" fillId="3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8" fillId="0" borderId="5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6" fillId="0" borderId="9" xfId="0" applyFont="1" applyBorder="1" applyAlignment="1">
      <alignment horizontal="left" vertical="top" wrapText="1" indent="2"/>
    </xf>
    <xf numFmtId="0" fontId="26" fillId="0" borderId="10" xfId="0" applyFont="1" applyBorder="1" applyAlignment="1">
      <alignment horizontal="left" vertical="top" wrapText="1" indent="2"/>
    </xf>
    <xf numFmtId="0" fontId="26" fillId="0" borderId="11" xfId="0" applyFont="1" applyBorder="1" applyAlignment="1">
      <alignment horizontal="left" vertical="top" wrapText="1" indent="2"/>
    </xf>
    <xf numFmtId="0" fontId="31" fillId="0" borderId="5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 vertical="top" wrapText="1"/>
    </xf>
    <xf numFmtId="0" fontId="26" fillId="0" borderId="9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31" fillId="0" borderId="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21" fillId="0" borderId="5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6" fillId="0" borderId="9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</cellXfs>
  <cellStyles count="13">
    <cellStyle name="Köprü" xfId="1" builtinId="8"/>
    <cellStyle name="Köprü 2" xfId="10" xr:uid="{B0E06074-B2B2-421C-836E-FCA8E4FC9E0E}"/>
    <cellStyle name="Köprü 2 2" xfId="12" xr:uid="{5961F719-D92C-411E-9820-3916D6ECE01C}"/>
    <cellStyle name="Köprü 3" xfId="11" xr:uid="{62DAF907-0C4B-4B57-AE9D-18725B4B1B8A}"/>
    <cellStyle name="Normal" xfId="0" builtinId="0"/>
    <cellStyle name="Normal 2" xfId="3" xr:uid="{E7AE314E-BB20-421F-A6C4-8EDA9F17B131}"/>
    <cellStyle name="Normal 2 2" xfId="4" xr:uid="{41898AF6-A715-4675-A18B-95088C24D919}"/>
    <cellStyle name="Normal 2 2 2" xfId="7" xr:uid="{BD6F887C-06A4-4314-AE14-C839263110A0}"/>
    <cellStyle name="Normal 3" xfId="5" xr:uid="{AC0661FF-1E8A-4FC7-8586-FFEA8BAAB1DD}"/>
    <cellStyle name="Normal 3 2" xfId="8" xr:uid="{574733E1-A868-41E1-BBCB-587BEEA7B154}"/>
    <cellStyle name="Normal 4" xfId="6" xr:uid="{5EAAF1FB-3C77-473F-80E2-CE21ABC2D659}"/>
    <cellStyle name="Normal 4 2" xfId="9" xr:uid="{BF001F9B-B52E-4ECA-98BF-E0CD6A6A5270}"/>
    <cellStyle name="Normal 5" xfId="2" xr:uid="{FE60A1A6-34CD-40F3-9AB0-D177AB93C8B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6600"/>
      <color rgb="FFFF3300"/>
      <color rgb="FFFF0000"/>
      <color rgb="FFFFFFCC"/>
      <color rgb="FFFFFFFF"/>
      <color rgb="FFFFFF66"/>
      <color rgb="FF47C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esmigazete.gov.tr/eskiler/2023/11/20231128.pdf" TargetMode="External"/><Relationship Id="rId2" Type="http://schemas.openxmlformats.org/officeDocument/2006/relationships/hyperlink" Target="https://www.resmigazete.gov.tr/eskiler/2023/11/20231128-6.htm" TargetMode="External"/><Relationship Id="rId1" Type="http://schemas.openxmlformats.org/officeDocument/2006/relationships/hyperlink" Target="https://www.resmigazete.gov.tr/eskiler/2023/11/20231128-6-1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muhasebat.hmb.gov.tr/83-sira-nolu-mgm-genel-tebligi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C846-B024-4104-8C6C-E1125B8C2165}">
  <dimension ref="A2:J51"/>
  <sheetViews>
    <sheetView workbookViewId="0"/>
  </sheetViews>
  <sheetFormatPr defaultRowHeight="15" x14ac:dyDescent="0.25"/>
  <cols>
    <col min="1" max="1" width="2.85546875" style="44" customWidth="1"/>
    <col min="2" max="2" width="13" style="44" customWidth="1"/>
    <col min="3" max="3" width="6.85546875" style="44" customWidth="1"/>
    <col min="4" max="4" width="18.85546875" style="44" customWidth="1"/>
    <col min="5" max="5" width="8" style="44" customWidth="1"/>
    <col min="6" max="7" width="13" style="44" customWidth="1"/>
    <col min="8" max="8" width="13.85546875" style="44" customWidth="1"/>
    <col min="9" max="9" width="4" style="44" customWidth="1"/>
    <col min="10" max="10" width="13.85546875" style="44" customWidth="1"/>
    <col min="11" max="16384" width="9.140625" style="44"/>
  </cols>
  <sheetData>
    <row r="2" spans="1:10" ht="18.95" customHeight="1" x14ac:dyDescent="0.25">
      <c r="A2" s="42"/>
      <c r="B2" s="140" t="s">
        <v>136</v>
      </c>
      <c r="C2" s="141"/>
      <c r="D2" s="141"/>
      <c r="E2" s="141"/>
      <c r="F2" s="141"/>
      <c r="G2" s="141"/>
      <c r="H2" s="142"/>
      <c r="I2" s="43"/>
      <c r="J2" s="42"/>
    </row>
    <row r="3" spans="1:10" ht="14.25" customHeight="1" x14ac:dyDescent="0.25">
      <c r="A3" s="45"/>
      <c r="B3" s="140" t="s">
        <v>137</v>
      </c>
      <c r="C3" s="141"/>
      <c r="D3" s="141"/>
      <c r="E3" s="141"/>
      <c r="F3" s="141"/>
      <c r="G3" s="141"/>
      <c r="H3" s="142"/>
      <c r="I3" s="46"/>
      <c r="J3" s="45"/>
    </row>
    <row r="4" spans="1:10" ht="9.9499999999999993" customHeight="1" x14ac:dyDescent="0.25">
      <c r="A4" s="45"/>
      <c r="B4" s="143" t="s">
        <v>138</v>
      </c>
      <c r="C4" s="144"/>
      <c r="D4" s="46"/>
      <c r="E4" s="139" t="s">
        <v>139</v>
      </c>
      <c r="F4" s="129"/>
      <c r="G4" s="106"/>
      <c r="H4" s="107"/>
      <c r="I4" s="122"/>
      <c r="J4" s="45"/>
    </row>
    <row r="5" spans="1:10" ht="9.9499999999999993" customHeight="1" x14ac:dyDescent="0.25">
      <c r="A5" s="45"/>
      <c r="B5" s="139" t="s">
        <v>140</v>
      </c>
      <c r="C5" s="129"/>
      <c r="D5" s="46"/>
      <c r="E5" s="139" t="s">
        <v>139</v>
      </c>
      <c r="F5" s="129"/>
      <c r="G5" s="106"/>
      <c r="H5" s="107"/>
      <c r="I5" s="123"/>
      <c r="J5" s="45"/>
    </row>
    <row r="6" spans="1:10" ht="9.9499999999999993" customHeight="1" x14ac:dyDescent="0.25">
      <c r="A6" s="45"/>
      <c r="B6" s="139" t="s">
        <v>141</v>
      </c>
      <c r="C6" s="129"/>
      <c r="D6" s="46"/>
      <c r="E6" s="139" t="s">
        <v>142</v>
      </c>
      <c r="F6" s="129"/>
      <c r="G6" s="106"/>
      <c r="H6" s="107"/>
      <c r="I6" s="123"/>
      <c r="J6" s="45"/>
    </row>
    <row r="7" spans="1:10" ht="9.9499999999999993" customHeight="1" x14ac:dyDescent="0.25">
      <c r="A7" s="45"/>
      <c r="B7" s="139" t="s">
        <v>143</v>
      </c>
      <c r="C7" s="129"/>
      <c r="D7" s="46"/>
      <c r="E7" s="139" t="s">
        <v>144</v>
      </c>
      <c r="F7" s="129"/>
      <c r="G7" s="106"/>
      <c r="H7" s="107"/>
      <c r="I7" s="123"/>
      <c r="J7" s="45"/>
    </row>
    <row r="8" spans="1:10" ht="9.9499999999999993" customHeight="1" x14ac:dyDescent="0.25">
      <c r="A8" s="45"/>
      <c r="B8" s="139" t="s">
        <v>145</v>
      </c>
      <c r="C8" s="129"/>
      <c r="D8" s="46"/>
      <c r="E8" s="139" t="s">
        <v>146</v>
      </c>
      <c r="F8" s="129"/>
      <c r="G8" s="106"/>
      <c r="H8" s="107"/>
      <c r="I8" s="123"/>
      <c r="J8" s="45"/>
    </row>
    <row r="9" spans="1:10" ht="9.9499999999999993" customHeight="1" x14ac:dyDescent="0.25">
      <c r="A9" s="45"/>
      <c r="B9" s="139" t="s">
        <v>147</v>
      </c>
      <c r="C9" s="129"/>
      <c r="D9" s="46"/>
      <c r="E9" s="139" t="s">
        <v>148</v>
      </c>
      <c r="F9" s="129"/>
      <c r="G9" s="106"/>
      <c r="H9" s="107"/>
      <c r="I9" s="123"/>
      <c r="J9" s="45"/>
    </row>
    <row r="10" spans="1:10" ht="9.9499999999999993" customHeight="1" x14ac:dyDescent="0.25">
      <c r="A10" s="45"/>
      <c r="B10" s="139" t="s">
        <v>149</v>
      </c>
      <c r="C10" s="129"/>
      <c r="D10" s="46"/>
      <c r="E10" s="139" t="s">
        <v>150</v>
      </c>
      <c r="F10" s="129"/>
      <c r="G10" s="106"/>
      <c r="H10" s="107"/>
      <c r="I10" s="123"/>
      <c r="J10" s="45"/>
    </row>
    <row r="11" spans="1:10" ht="12" customHeight="1" x14ac:dyDescent="0.25">
      <c r="A11" s="45"/>
      <c r="B11" s="139" t="s">
        <v>151</v>
      </c>
      <c r="C11" s="129"/>
      <c r="D11" s="46"/>
      <c r="E11" s="139" t="s">
        <v>152</v>
      </c>
      <c r="F11" s="129"/>
      <c r="G11" s="106"/>
      <c r="H11" s="107"/>
      <c r="I11" s="123"/>
      <c r="J11" s="45"/>
    </row>
    <row r="12" spans="1:10" ht="9.9499999999999993" customHeight="1" x14ac:dyDescent="0.25">
      <c r="A12" s="45"/>
      <c r="B12" s="139" t="s">
        <v>153</v>
      </c>
      <c r="C12" s="129"/>
      <c r="D12" s="46"/>
      <c r="E12" s="139" t="s">
        <v>153</v>
      </c>
      <c r="F12" s="129"/>
      <c r="G12" s="106"/>
      <c r="H12" s="107"/>
      <c r="I12" s="123"/>
      <c r="J12" s="45"/>
    </row>
    <row r="13" spans="1:10" ht="9.75" customHeight="1" x14ac:dyDescent="0.25">
      <c r="A13" s="45"/>
      <c r="B13" s="139" t="s">
        <v>154</v>
      </c>
      <c r="C13" s="129"/>
      <c r="D13" s="46"/>
      <c r="E13" s="139" t="s">
        <v>154</v>
      </c>
      <c r="F13" s="129"/>
      <c r="G13" s="106"/>
      <c r="H13" s="107"/>
      <c r="I13" s="123"/>
      <c r="J13" s="45"/>
    </row>
    <row r="14" spans="1:10" ht="9.9499999999999993" customHeight="1" x14ac:dyDescent="0.25">
      <c r="A14" s="45"/>
      <c r="B14" s="139" t="s">
        <v>155</v>
      </c>
      <c r="C14" s="129"/>
      <c r="D14" s="46"/>
      <c r="E14" s="139" t="s">
        <v>156</v>
      </c>
      <c r="F14" s="129"/>
      <c r="G14" s="106"/>
      <c r="H14" s="107"/>
      <c r="I14" s="123"/>
      <c r="J14" s="45"/>
    </row>
    <row r="15" spans="1:10" ht="11.1" customHeight="1" x14ac:dyDescent="0.25">
      <c r="A15" s="45"/>
      <c r="B15" s="127" t="s">
        <v>157</v>
      </c>
      <c r="C15" s="128"/>
      <c r="D15" s="128"/>
      <c r="E15" s="128"/>
      <c r="F15" s="129"/>
      <c r="G15" s="106"/>
      <c r="H15" s="107"/>
      <c r="I15" s="123"/>
      <c r="J15" s="45"/>
    </row>
    <row r="16" spans="1:10" ht="19.5" customHeight="1" x14ac:dyDescent="0.25">
      <c r="A16" s="42"/>
      <c r="B16" s="130" t="s">
        <v>158</v>
      </c>
      <c r="C16" s="131"/>
      <c r="D16" s="111"/>
      <c r="E16" s="113"/>
      <c r="F16" s="113"/>
      <c r="G16" s="113"/>
      <c r="H16" s="112"/>
      <c r="I16" s="124"/>
      <c r="J16" s="42"/>
    </row>
    <row r="17" spans="1:10" ht="11.25" customHeight="1" x14ac:dyDescent="0.25">
      <c r="A17" s="45"/>
      <c r="B17" s="108" t="s">
        <v>159</v>
      </c>
      <c r="C17" s="109"/>
      <c r="D17" s="109"/>
      <c r="E17" s="109"/>
      <c r="F17" s="109"/>
      <c r="G17" s="109"/>
      <c r="H17" s="110"/>
      <c r="I17" s="46"/>
      <c r="J17" s="45"/>
    </row>
    <row r="18" spans="1:10" ht="45.95" customHeight="1" x14ac:dyDescent="0.25">
      <c r="A18" s="47"/>
      <c r="B18" s="48"/>
      <c r="C18" s="132"/>
      <c r="D18" s="133"/>
      <c r="E18" s="49" t="s">
        <v>160</v>
      </c>
      <c r="F18" s="134" t="s">
        <v>161</v>
      </c>
      <c r="G18" s="135"/>
      <c r="H18" s="49" t="s">
        <v>162</v>
      </c>
      <c r="I18" s="48"/>
      <c r="J18" s="47"/>
    </row>
    <row r="19" spans="1:10" ht="12" customHeight="1" x14ac:dyDescent="0.25">
      <c r="A19" s="45"/>
      <c r="B19" s="136" t="s">
        <v>163</v>
      </c>
      <c r="C19" s="104" t="s">
        <v>164</v>
      </c>
      <c r="D19" s="105"/>
      <c r="E19" s="46"/>
      <c r="F19" s="106"/>
      <c r="G19" s="107"/>
      <c r="H19" s="46"/>
      <c r="I19" s="122"/>
      <c r="J19" s="45"/>
    </row>
    <row r="20" spans="1:10" ht="12" customHeight="1" x14ac:dyDescent="0.25">
      <c r="A20" s="45"/>
      <c r="B20" s="137"/>
      <c r="C20" s="104" t="s">
        <v>165</v>
      </c>
      <c r="D20" s="105"/>
      <c r="E20" s="46"/>
      <c r="F20" s="106"/>
      <c r="G20" s="107"/>
      <c r="H20" s="46"/>
      <c r="I20" s="123"/>
      <c r="J20" s="45"/>
    </row>
    <row r="21" spans="1:10" ht="12" customHeight="1" x14ac:dyDescent="0.25">
      <c r="A21" s="45"/>
      <c r="B21" s="137"/>
      <c r="C21" s="104" t="s">
        <v>166</v>
      </c>
      <c r="D21" s="105"/>
      <c r="E21" s="46"/>
      <c r="F21" s="106"/>
      <c r="G21" s="107"/>
      <c r="H21" s="46"/>
      <c r="I21" s="123"/>
      <c r="J21" s="45"/>
    </row>
    <row r="22" spans="1:10" ht="12" customHeight="1" x14ac:dyDescent="0.25">
      <c r="A22" s="45"/>
      <c r="B22" s="137"/>
      <c r="C22" s="104" t="s">
        <v>167</v>
      </c>
      <c r="D22" s="105"/>
      <c r="E22" s="46"/>
      <c r="F22" s="106"/>
      <c r="G22" s="107"/>
      <c r="H22" s="46"/>
      <c r="I22" s="123"/>
      <c r="J22" s="45"/>
    </row>
    <row r="23" spans="1:10" ht="12" customHeight="1" x14ac:dyDescent="0.25">
      <c r="A23" s="45"/>
      <c r="B23" s="137"/>
      <c r="C23" s="104" t="s">
        <v>168</v>
      </c>
      <c r="D23" s="105"/>
      <c r="E23" s="46"/>
      <c r="F23" s="106"/>
      <c r="G23" s="107"/>
      <c r="H23" s="46"/>
      <c r="I23" s="123"/>
      <c r="J23" s="45"/>
    </row>
    <row r="24" spans="1:10" ht="12" customHeight="1" x14ac:dyDescent="0.25">
      <c r="A24" s="45"/>
      <c r="B24" s="137"/>
      <c r="C24" s="104" t="s">
        <v>169</v>
      </c>
      <c r="D24" s="105"/>
      <c r="E24" s="46"/>
      <c r="F24" s="106"/>
      <c r="G24" s="107"/>
      <c r="H24" s="46"/>
      <c r="I24" s="123"/>
      <c r="J24" s="45"/>
    </row>
    <row r="25" spans="1:10" ht="12" customHeight="1" x14ac:dyDescent="0.25">
      <c r="A25" s="45"/>
      <c r="B25" s="137"/>
      <c r="C25" s="104" t="s">
        <v>170</v>
      </c>
      <c r="D25" s="105"/>
      <c r="E25" s="46"/>
      <c r="F25" s="106"/>
      <c r="G25" s="107"/>
      <c r="H25" s="46"/>
      <c r="I25" s="123"/>
      <c r="J25" s="45"/>
    </row>
    <row r="26" spans="1:10" ht="12" customHeight="1" x14ac:dyDescent="0.25">
      <c r="A26" s="45"/>
      <c r="B26" s="137"/>
      <c r="C26" s="104" t="s">
        <v>171</v>
      </c>
      <c r="D26" s="105"/>
      <c r="E26" s="46"/>
      <c r="F26" s="106"/>
      <c r="G26" s="107"/>
      <c r="H26" s="46"/>
      <c r="I26" s="123"/>
      <c r="J26" s="45"/>
    </row>
    <row r="27" spans="1:10" ht="12" customHeight="1" x14ac:dyDescent="0.25">
      <c r="A27" s="45"/>
      <c r="B27" s="137"/>
      <c r="C27" s="104" t="s">
        <v>172</v>
      </c>
      <c r="D27" s="105"/>
      <c r="E27" s="46"/>
      <c r="F27" s="106"/>
      <c r="G27" s="107"/>
      <c r="H27" s="46"/>
      <c r="I27" s="123"/>
      <c r="J27" s="45"/>
    </row>
    <row r="28" spans="1:10" ht="12" customHeight="1" x14ac:dyDescent="0.25">
      <c r="A28" s="45"/>
      <c r="B28" s="137"/>
      <c r="C28" s="104" t="s">
        <v>173</v>
      </c>
      <c r="D28" s="105"/>
      <c r="E28" s="46"/>
      <c r="F28" s="106"/>
      <c r="G28" s="107"/>
      <c r="H28" s="46"/>
      <c r="I28" s="123"/>
      <c r="J28" s="45"/>
    </row>
    <row r="29" spans="1:10" ht="12" customHeight="1" x14ac:dyDescent="0.25">
      <c r="A29" s="45"/>
      <c r="B29" s="137"/>
      <c r="C29" s="104" t="s">
        <v>174</v>
      </c>
      <c r="D29" s="105"/>
      <c r="E29" s="46"/>
      <c r="F29" s="106"/>
      <c r="G29" s="107"/>
      <c r="H29" s="46"/>
      <c r="I29" s="123"/>
      <c r="J29" s="45"/>
    </row>
    <row r="30" spans="1:10" ht="12" customHeight="1" x14ac:dyDescent="0.25">
      <c r="A30" s="45"/>
      <c r="B30" s="137"/>
      <c r="C30" s="104" t="s">
        <v>175</v>
      </c>
      <c r="D30" s="105"/>
      <c r="E30" s="46"/>
      <c r="F30" s="106"/>
      <c r="G30" s="107"/>
      <c r="H30" s="46"/>
      <c r="I30" s="123"/>
      <c r="J30" s="45"/>
    </row>
    <row r="31" spans="1:10" ht="12" customHeight="1" x14ac:dyDescent="0.25">
      <c r="A31" s="45"/>
      <c r="B31" s="137"/>
      <c r="C31" s="104" t="s">
        <v>176</v>
      </c>
      <c r="D31" s="105"/>
      <c r="E31" s="46"/>
      <c r="F31" s="106"/>
      <c r="G31" s="107"/>
      <c r="H31" s="46"/>
      <c r="I31" s="123"/>
      <c r="J31" s="45"/>
    </row>
    <row r="32" spans="1:10" ht="12" customHeight="1" x14ac:dyDescent="0.25">
      <c r="A32" s="45"/>
      <c r="B32" s="137"/>
      <c r="C32" s="104" t="s">
        <v>177</v>
      </c>
      <c r="D32" s="105"/>
      <c r="E32" s="46"/>
      <c r="F32" s="106"/>
      <c r="G32" s="107"/>
      <c r="H32" s="46"/>
      <c r="I32" s="123"/>
      <c r="J32" s="45"/>
    </row>
    <row r="33" spans="1:10" ht="12" customHeight="1" x14ac:dyDescent="0.25">
      <c r="A33" s="45"/>
      <c r="B33" s="137"/>
      <c r="C33" s="104" t="s">
        <v>178</v>
      </c>
      <c r="D33" s="105"/>
      <c r="E33" s="46"/>
      <c r="F33" s="106"/>
      <c r="G33" s="107"/>
      <c r="H33" s="46"/>
      <c r="I33" s="123"/>
      <c r="J33" s="45"/>
    </row>
    <row r="34" spans="1:10" ht="12" customHeight="1" x14ac:dyDescent="0.25">
      <c r="A34" s="45"/>
      <c r="B34" s="137"/>
      <c r="C34" s="104" t="s">
        <v>179</v>
      </c>
      <c r="D34" s="105"/>
      <c r="E34" s="46"/>
      <c r="F34" s="106"/>
      <c r="G34" s="107"/>
      <c r="H34" s="46"/>
      <c r="I34" s="123"/>
      <c r="J34" s="45"/>
    </row>
    <row r="35" spans="1:10" ht="12" customHeight="1" x14ac:dyDescent="0.25">
      <c r="A35" s="45"/>
      <c r="B35" s="138"/>
      <c r="C35" s="104" t="s">
        <v>180</v>
      </c>
      <c r="D35" s="105"/>
      <c r="E35" s="46"/>
      <c r="F35" s="106"/>
      <c r="G35" s="107"/>
      <c r="H35" s="46"/>
      <c r="I35" s="124"/>
      <c r="J35" s="45"/>
    </row>
    <row r="36" spans="1:10" ht="14.25" customHeight="1" x14ac:dyDescent="0.25">
      <c r="A36" s="45"/>
      <c r="B36" s="50" t="s">
        <v>181</v>
      </c>
      <c r="C36" s="106"/>
      <c r="D36" s="107"/>
      <c r="E36" s="46"/>
      <c r="F36" s="106"/>
      <c r="G36" s="107"/>
      <c r="H36" s="46"/>
      <c r="I36" s="51">
        <v>1</v>
      </c>
      <c r="J36" s="45"/>
    </row>
    <row r="37" spans="1:10" ht="11.25" customHeight="1" x14ac:dyDescent="0.25">
      <c r="A37" s="45"/>
      <c r="B37" s="108" t="s">
        <v>182</v>
      </c>
      <c r="C37" s="109"/>
      <c r="D37" s="109"/>
      <c r="E37" s="109"/>
      <c r="F37" s="109"/>
      <c r="G37" s="109"/>
      <c r="H37" s="110"/>
      <c r="I37" s="46"/>
      <c r="J37" s="45"/>
    </row>
    <row r="38" spans="1:10" ht="33" customHeight="1" x14ac:dyDescent="0.25">
      <c r="A38" s="42"/>
      <c r="B38" s="43"/>
      <c r="C38" s="125" t="s">
        <v>183</v>
      </c>
      <c r="D38" s="126"/>
      <c r="E38" s="48" t="s">
        <v>184</v>
      </c>
      <c r="F38" s="117" t="s">
        <v>185</v>
      </c>
      <c r="G38" s="118"/>
      <c r="H38" s="52" t="s">
        <v>186</v>
      </c>
      <c r="I38" s="43"/>
      <c r="J38" s="42"/>
    </row>
    <row r="39" spans="1:10" ht="12" customHeight="1" x14ac:dyDescent="0.25">
      <c r="A39" s="45"/>
      <c r="B39" s="119" t="s">
        <v>187</v>
      </c>
      <c r="C39" s="104" t="s">
        <v>188</v>
      </c>
      <c r="D39" s="105"/>
      <c r="E39" s="46"/>
      <c r="F39" s="106"/>
      <c r="G39" s="107"/>
      <c r="H39" s="46"/>
      <c r="I39" s="122"/>
      <c r="J39" s="45"/>
    </row>
    <row r="40" spans="1:10" ht="12" customHeight="1" x14ac:dyDescent="0.25">
      <c r="A40" s="45"/>
      <c r="B40" s="120"/>
      <c r="C40" s="104" t="s">
        <v>189</v>
      </c>
      <c r="D40" s="105"/>
      <c r="E40" s="46"/>
      <c r="F40" s="106"/>
      <c r="G40" s="107"/>
      <c r="H40" s="46"/>
      <c r="I40" s="123"/>
      <c r="J40" s="45"/>
    </row>
    <row r="41" spans="1:10" ht="12" customHeight="1" x14ac:dyDescent="0.25">
      <c r="A41" s="45"/>
      <c r="B41" s="120"/>
      <c r="C41" s="104" t="s">
        <v>190</v>
      </c>
      <c r="D41" s="105"/>
      <c r="E41" s="46"/>
      <c r="F41" s="106"/>
      <c r="G41" s="107"/>
      <c r="H41" s="46"/>
      <c r="I41" s="123"/>
      <c r="J41" s="45"/>
    </row>
    <row r="42" spans="1:10" ht="12" customHeight="1" x14ac:dyDescent="0.25">
      <c r="A42" s="45"/>
      <c r="B42" s="120"/>
      <c r="C42" s="104" t="s">
        <v>191</v>
      </c>
      <c r="D42" s="105"/>
      <c r="E42" s="46"/>
      <c r="F42" s="106"/>
      <c r="G42" s="107"/>
      <c r="H42" s="46"/>
      <c r="I42" s="123"/>
      <c r="J42" s="45"/>
    </row>
    <row r="43" spans="1:10" ht="12" customHeight="1" x14ac:dyDescent="0.25">
      <c r="A43" s="45"/>
      <c r="B43" s="121"/>
      <c r="C43" s="104" t="s">
        <v>192</v>
      </c>
      <c r="D43" s="105"/>
      <c r="E43" s="46"/>
      <c r="F43" s="106"/>
      <c r="G43" s="107"/>
      <c r="H43" s="46"/>
      <c r="I43" s="124"/>
      <c r="J43" s="45"/>
    </row>
    <row r="44" spans="1:10" ht="14.25" customHeight="1" x14ac:dyDescent="0.25">
      <c r="A44" s="45"/>
      <c r="B44" s="50" t="s">
        <v>181</v>
      </c>
      <c r="C44" s="106"/>
      <c r="D44" s="107"/>
      <c r="E44" s="46"/>
      <c r="F44" s="106"/>
      <c r="G44" s="107"/>
      <c r="H44" s="46"/>
      <c r="I44" s="51">
        <v>2</v>
      </c>
      <c r="J44" s="45"/>
    </row>
    <row r="45" spans="1:10" ht="11.25" customHeight="1" x14ac:dyDescent="0.25">
      <c r="A45" s="45"/>
      <c r="B45" s="108" t="s">
        <v>193</v>
      </c>
      <c r="C45" s="109"/>
      <c r="D45" s="109"/>
      <c r="E45" s="109"/>
      <c r="F45" s="109"/>
      <c r="G45" s="109"/>
      <c r="H45" s="110"/>
      <c r="I45" s="46"/>
      <c r="J45" s="45"/>
    </row>
    <row r="46" spans="1:10" ht="47.1" customHeight="1" x14ac:dyDescent="0.25">
      <c r="A46" s="47"/>
      <c r="B46" s="114" t="s">
        <v>194</v>
      </c>
      <c r="C46" s="117" t="s">
        <v>195</v>
      </c>
      <c r="D46" s="118"/>
      <c r="E46" s="53" t="s">
        <v>196</v>
      </c>
      <c r="F46" s="49" t="s">
        <v>197</v>
      </c>
      <c r="G46" s="54" t="s">
        <v>198</v>
      </c>
      <c r="H46" s="49" t="s">
        <v>199</v>
      </c>
      <c r="I46" s="48"/>
      <c r="J46" s="47"/>
    </row>
    <row r="47" spans="1:10" ht="12" customHeight="1" x14ac:dyDescent="0.25">
      <c r="A47" s="45"/>
      <c r="B47" s="115"/>
      <c r="C47" s="104" t="s">
        <v>200</v>
      </c>
      <c r="D47" s="105"/>
      <c r="E47" s="46"/>
      <c r="F47" s="46"/>
      <c r="G47" s="46"/>
      <c r="H47" s="46"/>
      <c r="I47" s="102"/>
      <c r="J47" s="45"/>
    </row>
    <row r="48" spans="1:10" ht="12" customHeight="1" x14ac:dyDescent="0.25">
      <c r="A48" s="45"/>
      <c r="B48" s="116"/>
      <c r="C48" s="104" t="s">
        <v>201</v>
      </c>
      <c r="D48" s="105"/>
      <c r="E48" s="46"/>
      <c r="F48" s="46"/>
      <c r="G48" s="46"/>
      <c r="H48" s="46"/>
      <c r="I48" s="103"/>
      <c r="J48" s="45"/>
    </row>
    <row r="49" spans="1:10" ht="14.25" customHeight="1" x14ac:dyDescent="0.25">
      <c r="A49" s="45"/>
      <c r="B49" s="50" t="s">
        <v>181</v>
      </c>
      <c r="C49" s="106"/>
      <c r="D49" s="107"/>
      <c r="E49" s="46"/>
      <c r="F49" s="106"/>
      <c r="G49" s="107"/>
      <c r="H49" s="46"/>
      <c r="I49" s="51">
        <v>3</v>
      </c>
      <c r="J49" s="45"/>
    </row>
    <row r="50" spans="1:10" ht="12.95" customHeight="1" x14ac:dyDescent="0.25">
      <c r="A50" s="45"/>
      <c r="B50" s="108" t="s">
        <v>202</v>
      </c>
      <c r="C50" s="109"/>
      <c r="D50" s="109"/>
      <c r="E50" s="109"/>
      <c r="F50" s="109"/>
      <c r="G50" s="109"/>
      <c r="H50" s="110"/>
      <c r="I50" s="46"/>
      <c r="J50" s="45"/>
    </row>
    <row r="51" spans="1:10" ht="18.600000000000001" customHeight="1" x14ac:dyDescent="0.25">
      <c r="A51" s="42"/>
      <c r="B51" s="50" t="s">
        <v>203</v>
      </c>
      <c r="C51" s="111"/>
      <c r="D51" s="112"/>
      <c r="E51" s="111"/>
      <c r="F51" s="113"/>
      <c r="G51" s="113"/>
      <c r="H51" s="112"/>
      <c r="I51" s="43"/>
      <c r="J51" s="42"/>
    </row>
  </sheetData>
  <sheetProtection sheet="1" objects="1" scenarios="1"/>
  <mergeCells count="109">
    <mergeCell ref="B2:H2"/>
    <mergeCell ref="B3:H3"/>
    <mergeCell ref="B4:C4"/>
    <mergeCell ref="E4:F4"/>
    <mergeCell ref="G4:H4"/>
    <mergeCell ref="I4:I16"/>
    <mergeCell ref="B5:C5"/>
    <mergeCell ref="E5:F5"/>
    <mergeCell ref="G5:H5"/>
    <mergeCell ref="B6:C6"/>
    <mergeCell ref="B9:C9"/>
    <mergeCell ref="E9:F9"/>
    <mergeCell ref="G9:H9"/>
    <mergeCell ref="B10:C10"/>
    <mergeCell ref="E10:F10"/>
    <mergeCell ref="G10:H10"/>
    <mergeCell ref="E6:F6"/>
    <mergeCell ref="G6:H6"/>
    <mergeCell ref="B7:C7"/>
    <mergeCell ref="E7:F7"/>
    <mergeCell ref="G7:H7"/>
    <mergeCell ref="B8:C8"/>
    <mergeCell ref="E8:F8"/>
    <mergeCell ref="G8:H8"/>
    <mergeCell ref="B13:C13"/>
    <mergeCell ref="E13:F13"/>
    <mergeCell ref="G13:H13"/>
    <mergeCell ref="B14:C14"/>
    <mergeCell ref="E14:F14"/>
    <mergeCell ref="G14:H14"/>
    <mergeCell ref="B11:C11"/>
    <mergeCell ref="E11:F11"/>
    <mergeCell ref="G11:H11"/>
    <mergeCell ref="B12:C12"/>
    <mergeCell ref="E12:F12"/>
    <mergeCell ref="G12:H12"/>
    <mergeCell ref="I19:I35"/>
    <mergeCell ref="C20:D20"/>
    <mergeCell ref="F20:G20"/>
    <mergeCell ref="C21:D21"/>
    <mergeCell ref="F21:G21"/>
    <mergeCell ref="C22:D22"/>
    <mergeCell ref="F22:G22"/>
    <mergeCell ref="B15:F15"/>
    <mergeCell ref="G15:H15"/>
    <mergeCell ref="B16:C16"/>
    <mergeCell ref="D16:H16"/>
    <mergeCell ref="B17:H17"/>
    <mergeCell ref="C18:D18"/>
    <mergeCell ref="F18:G18"/>
    <mergeCell ref="C23:D23"/>
    <mergeCell ref="F23:G23"/>
    <mergeCell ref="C24:D24"/>
    <mergeCell ref="F24:G24"/>
    <mergeCell ref="C25:D25"/>
    <mergeCell ref="F25:G25"/>
    <mergeCell ref="B19:B35"/>
    <mergeCell ref="C19:D19"/>
    <mergeCell ref="F19:G19"/>
    <mergeCell ref="C29:D29"/>
    <mergeCell ref="F29:G29"/>
    <mergeCell ref="C30:D30"/>
    <mergeCell ref="F30:G30"/>
    <mergeCell ref="C31:D31"/>
    <mergeCell ref="F31:G31"/>
    <mergeCell ref="C26:D26"/>
    <mergeCell ref="F26:G26"/>
    <mergeCell ref="C27:D27"/>
    <mergeCell ref="F27:G27"/>
    <mergeCell ref="C28:D28"/>
    <mergeCell ref="F28:G28"/>
    <mergeCell ref="F42:G42"/>
    <mergeCell ref="C35:D35"/>
    <mergeCell ref="F35:G35"/>
    <mergeCell ref="C36:D36"/>
    <mergeCell ref="F36:G36"/>
    <mergeCell ref="B37:H37"/>
    <mergeCell ref="C38:D38"/>
    <mergeCell ref="F38:G38"/>
    <mergeCell ref="C32:D32"/>
    <mergeCell ref="F32:G32"/>
    <mergeCell ref="C33:D33"/>
    <mergeCell ref="F33:G33"/>
    <mergeCell ref="C34:D34"/>
    <mergeCell ref="F34:G34"/>
    <mergeCell ref="I47:I48"/>
    <mergeCell ref="C48:D48"/>
    <mergeCell ref="C49:D49"/>
    <mergeCell ref="F49:G49"/>
    <mergeCell ref="B50:H50"/>
    <mergeCell ref="C51:D51"/>
    <mergeCell ref="E51:H51"/>
    <mergeCell ref="C43:D43"/>
    <mergeCell ref="F43:G43"/>
    <mergeCell ref="C44:D44"/>
    <mergeCell ref="F44:G44"/>
    <mergeCell ref="B45:H45"/>
    <mergeCell ref="B46:B48"/>
    <mergeCell ref="C46:D46"/>
    <mergeCell ref="C47:D47"/>
    <mergeCell ref="B39:B43"/>
    <mergeCell ref="C39:D39"/>
    <mergeCell ref="F39:G39"/>
    <mergeCell ref="I39:I43"/>
    <mergeCell ref="C40:D40"/>
    <mergeCell ref="F40:G40"/>
    <mergeCell ref="C41:D41"/>
    <mergeCell ref="F41:G41"/>
    <mergeCell ref="C42:D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B90EC-012E-4770-8F0A-79086DC81724}">
  <dimension ref="A1:BA35"/>
  <sheetViews>
    <sheetView zoomScaleNormal="100" workbookViewId="0">
      <pane xSplit="2" topLeftCell="R1" activePane="topRight" state="frozen"/>
      <selection pane="topRight"/>
    </sheetView>
  </sheetViews>
  <sheetFormatPr defaultRowHeight="15" x14ac:dyDescent="0.25"/>
  <cols>
    <col min="1" max="1" width="45.7109375" style="2" customWidth="1"/>
    <col min="2" max="2" width="33.7109375" style="2" customWidth="1"/>
    <col min="3" max="3" width="9.140625" style="2" customWidth="1"/>
    <col min="4" max="17" width="9.140625" style="2"/>
    <col min="18" max="22" width="10.7109375" style="2" customWidth="1"/>
    <col min="23" max="16384" width="9.140625" style="2"/>
  </cols>
  <sheetData>
    <row r="1" spans="1:53" x14ac:dyDescent="0.25">
      <c r="A1" s="10" t="s">
        <v>56</v>
      </c>
      <c r="B1" s="36" t="s">
        <v>67</v>
      </c>
      <c r="C1" s="11">
        <v>2007</v>
      </c>
      <c r="D1" s="12">
        <v>2008</v>
      </c>
      <c r="E1" s="12">
        <v>2009</v>
      </c>
      <c r="F1" s="12">
        <v>2010</v>
      </c>
      <c r="G1" s="12">
        <v>2011</v>
      </c>
      <c r="H1" s="12">
        <v>2012</v>
      </c>
      <c r="I1" s="12">
        <v>2013</v>
      </c>
      <c r="J1" s="12">
        <v>2014</v>
      </c>
      <c r="K1" s="12">
        <v>2015</v>
      </c>
      <c r="L1" s="12">
        <v>2016</v>
      </c>
      <c r="M1" s="12">
        <v>2017</v>
      </c>
      <c r="N1" s="12">
        <v>2018</v>
      </c>
      <c r="O1" s="12">
        <v>2019</v>
      </c>
      <c r="P1" s="12">
        <v>2020</v>
      </c>
      <c r="Q1" s="12">
        <v>2021</v>
      </c>
      <c r="R1" s="11">
        <v>2022</v>
      </c>
      <c r="S1" s="11">
        <v>2023</v>
      </c>
      <c r="T1" s="11">
        <v>2024</v>
      </c>
      <c r="U1" s="11">
        <v>2025</v>
      </c>
      <c r="V1" s="12">
        <v>2026</v>
      </c>
      <c r="W1" s="12">
        <v>2027</v>
      </c>
      <c r="X1" s="12">
        <v>2028</v>
      </c>
      <c r="Y1" s="12">
        <v>2029</v>
      </c>
      <c r="Z1" s="12">
        <v>2030</v>
      </c>
      <c r="AA1" s="12">
        <v>2031</v>
      </c>
      <c r="AB1" s="12">
        <v>2032</v>
      </c>
      <c r="AC1" s="12">
        <v>2033</v>
      </c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</row>
    <row r="2" spans="1:53" x14ac:dyDescent="0.25">
      <c r="A2" s="13" t="s">
        <v>53</v>
      </c>
      <c r="B2" s="35" t="s">
        <v>35</v>
      </c>
      <c r="C2" s="13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87">
        <v>638.01</v>
      </c>
      <c r="S2" s="87">
        <v>1276.02</v>
      </c>
      <c r="T2" s="87">
        <v>2550.3200000000002</v>
      </c>
      <c r="U2" s="87">
        <v>3315.7</v>
      </c>
      <c r="V2" s="88">
        <v>4211.33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</row>
    <row r="3" spans="1:53" x14ac:dyDescent="0.25">
      <c r="A3" s="13" t="s">
        <v>210</v>
      </c>
      <c r="B3" s="35" t="s">
        <v>36</v>
      </c>
      <c r="C3" s="13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87">
        <v>638.01</v>
      </c>
      <c r="S3" s="87">
        <v>1276.02</v>
      </c>
      <c r="T3" s="87">
        <v>2550.3200000000002</v>
      </c>
      <c r="U3" s="87">
        <v>3315.7</v>
      </c>
      <c r="V3" s="88">
        <v>4211.33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</row>
    <row r="4" spans="1:53" x14ac:dyDescent="0.25">
      <c r="A4" s="13" t="s">
        <v>211</v>
      </c>
      <c r="B4" s="35" t="s">
        <v>37</v>
      </c>
      <c r="C4" s="13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87">
        <v>638.01</v>
      </c>
      <c r="S4" s="87">
        <v>1276.02</v>
      </c>
      <c r="T4" s="87">
        <v>2550.3200000000002</v>
      </c>
      <c r="U4" s="87">
        <v>3315.7</v>
      </c>
      <c r="V4" s="88">
        <v>4211.33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</row>
    <row r="5" spans="1:53" x14ac:dyDescent="0.25">
      <c r="A5" s="13" t="s">
        <v>208</v>
      </c>
      <c r="B5" s="35" t="s">
        <v>38</v>
      </c>
      <c r="C5" s="13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87">
        <v>638.01</v>
      </c>
      <c r="S5" s="87">
        <v>1276.02</v>
      </c>
      <c r="T5" s="87">
        <v>2550.3200000000002</v>
      </c>
      <c r="U5" s="87">
        <v>3315.7</v>
      </c>
      <c r="V5" s="88">
        <v>4211.33</v>
      </c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</row>
    <row r="6" spans="1:53" x14ac:dyDescent="0.25">
      <c r="A6" s="13" t="s">
        <v>225</v>
      </c>
      <c r="B6" s="35" t="s">
        <v>39</v>
      </c>
      <c r="C6" s="13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87">
        <v>638.01</v>
      </c>
      <c r="S6" s="87">
        <v>1276.02</v>
      </c>
      <c r="T6" s="87">
        <v>2550.3200000000002</v>
      </c>
      <c r="U6" s="87">
        <v>3315.7</v>
      </c>
      <c r="V6" s="88">
        <v>4211.33</v>
      </c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</row>
    <row r="7" spans="1:53" x14ac:dyDescent="0.25">
      <c r="A7" s="13" t="s">
        <v>114</v>
      </c>
      <c r="B7" s="35" t="s">
        <v>40</v>
      </c>
      <c r="C7" s="13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87">
        <v>638.01</v>
      </c>
      <c r="S7" s="87">
        <v>1276.02</v>
      </c>
      <c r="T7" s="87">
        <v>2550.3200000000002</v>
      </c>
      <c r="U7" s="87">
        <v>3315.7</v>
      </c>
      <c r="V7" s="88">
        <v>4211.33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</row>
    <row r="8" spans="1:53" x14ac:dyDescent="0.25">
      <c r="A8" s="55" t="s">
        <v>230</v>
      </c>
      <c r="B8" s="35" t="s">
        <v>41</v>
      </c>
      <c r="C8" s="13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87">
        <v>825.05</v>
      </c>
      <c r="S8" s="87">
        <v>1710.35</v>
      </c>
      <c r="T8" s="87">
        <v>3001.06</v>
      </c>
      <c r="U8" s="87">
        <v>3315.7</v>
      </c>
      <c r="V8" s="88">
        <v>4537.75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</row>
    <row r="9" spans="1:53" x14ac:dyDescent="0.25">
      <c r="A9" s="55" t="s">
        <v>231</v>
      </c>
      <c r="B9" s="35" t="s">
        <v>42</v>
      </c>
      <c r="C9" s="13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87">
        <v>1051.1099999999999</v>
      </c>
      <c r="S9" s="87">
        <v>1902.62</v>
      </c>
      <c r="T9" s="87">
        <v>3400.42</v>
      </c>
      <c r="U9" s="87">
        <v>4257.57</v>
      </c>
      <c r="V9" s="88">
        <v>5615.1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</row>
    <row r="10" spans="1:53" x14ac:dyDescent="0.25">
      <c r="A10" s="55" t="s">
        <v>232</v>
      </c>
      <c r="B10" s="35" t="s">
        <v>43</v>
      </c>
      <c r="C10" s="13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87">
        <v>1100.07</v>
      </c>
      <c r="S10" s="87">
        <v>2280.46</v>
      </c>
      <c r="T10" s="87">
        <v>3400.42</v>
      </c>
      <c r="U10" s="87">
        <v>4420.93</v>
      </c>
      <c r="V10" s="88">
        <v>5615.1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</row>
    <row r="11" spans="1:53" x14ac:dyDescent="0.25">
      <c r="A11" s="13" t="s">
        <v>204</v>
      </c>
      <c r="B11" s="35" t="s">
        <v>44</v>
      </c>
      <c r="C11" s="13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87">
        <v>1100.07</v>
      </c>
      <c r="S11" s="87">
        <v>2280.46</v>
      </c>
      <c r="T11" s="87">
        <v>3400.42</v>
      </c>
      <c r="U11" s="87">
        <v>4420.93</v>
      </c>
      <c r="V11" s="88">
        <v>5615.1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x14ac:dyDescent="0.25">
      <c r="A12" s="55"/>
      <c r="B12" s="35" t="s">
        <v>34</v>
      </c>
      <c r="C12" s="13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87">
        <v>1100.07</v>
      </c>
      <c r="S12" s="87">
        <v>2280.46</v>
      </c>
      <c r="T12" s="87">
        <v>3400.42</v>
      </c>
      <c r="U12" s="87">
        <v>4420.93</v>
      </c>
      <c r="V12" s="88">
        <v>5615.1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x14ac:dyDescent="0.25">
      <c r="A13" s="13"/>
      <c r="B13" s="35" t="s">
        <v>45</v>
      </c>
      <c r="C13" s="13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87">
        <v>1100.07</v>
      </c>
      <c r="S13" s="87">
        <v>2280.46</v>
      </c>
      <c r="T13" s="87">
        <v>3400.42</v>
      </c>
      <c r="U13" s="87">
        <v>4420.93</v>
      </c>
      <c r="V13" s="88">
        <v>5615.1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x14ac:dyDescent="0.25">
      <c r="A14" s="13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</row>
    <row r="15" spans="1:53" x14ac:dyDescent="0.25">
      <c r="A15" s="13"/>
      <c r="B15" s="36" t="s">
        <v>98</v>
      </c>
      <c r="C15" s="11">
        <v>2007</v>
      </c>
      <c r="D15" s="12">
        <v>2008</v>
      </c>
      <c r="E15" s="12">
        <v>2009</v>
      </c>
      <c r="F15" s="12">
        <v>2010</v>
      </c>
      <c r="G15" s="12">
        <v>2011</v>
      </c>
      <c r="H15" s="12">
        <v>2012</v>
      </c>
      <c r="I15" s="12">
        <v>2013</v>
      </c>
      <c r="J15" s="12">
        <v>2014</v>
      </c>
      <c r="K15" s="12">
        <v>2015</v>
      </c>
      <c r="L15" s="12">
        <v>2016</v>
      </c>
      <c r="M15" s="12">
        <v>2017</v>
      </c>
      <c r="N15" s="12">
        <v>2018</v>
      </c>
      <c r="O15" s="12">
        <v>2019</v>
      </c>
      <c r="P15" s="12">
        <v>2020</v>
      </c>
      <c r="Q15" s="12">
        <v>2021</v>
      </c>
      <c r="R15" s="11">
        <v>2022</v>
      </c>
      <c r="S15" s="11">
        <v>2023</v>
      </c>
      <c r="T15" s="11">
        <v>2024</v>
      </c>
      <c r="U15" s="11">
        <v>2025</v>
      </c>
      <c r="V15" s="12">
        <v>2026</v>
      </c>
      <c r="W15" s="12">
        <v>2027</v>
      </c>
      <c r="X15" s="12">
        <v>2028</v>
      </c>
      <c r="Y15" s="12">
        <v>2029</v>
      </c>
      <c r="Z15" s="12">
        <v>2030</v>
      </c>
      <c r="AA15" s="12">
        <v>2031</v>
      </c>
      <c r="AB15" s="12">
        <v>2032</v>
      </c>
      <c r="AC15" s="12">
        <v>2033</v>
      </c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</row>
    <row r="16" spans="1:53" x14ac:dyDescent="0.25">
      <c r="A16" s="13"/>
      <c r="B16" s="37" t="s">
        <v>76</v>
      </c>
      <c r="C16" s="14">
        <v>7500</v>
      </c>
      <c r="D16" s="15">
        <v>7800</v>
      </c>
      <c r="E16" s="15">
        <v>8700</v>
      </c>
      <c r="F16" s="15">
        <v>8800</v>
      </c>
      <c r="G16" s="15">
        <v>9400</v>
      </c>
      <c r="H16" s="15">
        <v>10000</v>
      </c>
      <c r="I16" s="15">
        <v>10700</v>
      </c>
      <c r="J16" s="15">
        <v>11000</v>
      </c>
      <c r="K16" s="15">
        <v>12000</v>
      </c>
      <c r="L16" s="15">
        <v>12600</v>
      </c>
      <c r="M16" s="15">
        <v>13000</v>
      </c>
      <c r="N16" s="15">
        <v>14800</v>
      </c>
      <c r="O16" s="15">
        <v>18000</v>
      </c>
      <c r="P16" s="15">
        <v>22000</v>
      </c>
      <c r="Q16" s="15">
        <v>24000</v>
      </c>
      <c r="R16" s="14">
        <v>32000</v>
      </c>
      <c r="S16" s="14">
        <v>70000</v>
      </c>
      <c r="T16" s="14">
        <v>110000</v>
      </c>
      <c r="U16" s="14">
        <v>158000</v>
      </c>
      <c r="V16" s="14">
        <v>190000</v>
      </c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</row>
    <row r="17" spans="1:53" x14ac:dyDescent="0.25">
      <c r="A17" s="13"/>
      <c r="B17" s="37" t="s">
        <v>77</v>
      </c>
      <c r="C17" s="14">
        <v>19000</v>
      </c>
      <c r="D17" s="15">
        <v>19800</v>
      </c>
      <c r="E17" s="15">
        <v>22000</v>
      </c>
      <c r="F17" s="15">
        <v>22000</v>
      </c>
      <c r="G17" s="15">
        <v>23000</v>
      </c>
      <c r="H17" s="15">
        <v>25000</v>
      </c>
      <c r="I17" s="15">
        <v>26000</v>
      </c>
      <c r="J17" s="15">
        <v>27000</v>
      </c>
      <c r="K17" s="15">
        <v>29000</v>
      </c>
      <c r="L17" s="15">
        <v>30000</v>
      </c>
      <c r="M17" s="15">
        <v>30000</v>
      </c>
      <c r="N17" s="15">
        <v>34000</v>
      </c>
      <c r="O17" s="15">
        <v>40000</v>
      </c>
      <c r="P17" s="15">
        <v>49000</v>
      </c>
      <c r="Q17" s="15">
        <v>53000</v>
      </c>
      <c r="R17" s="14">
        <v>70000</v>
      </c>
      <c r="S17" s="14">
        <v>150000</v>
      </c>
      <c r="T17" s="14">
        <v>230000</v>
      </c>
      <c r="U17" s="14">
        <v>330000</v>
      </c>
      <c r="V17" s="14">
        <v>400000</v>
      </c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</row>
    <row r="18" spans="1:53" x14ac:dyDescent="0.25">
      <c r="A18" s="13"/>
      <c r="B18" s="37" t="s">
        <v>78</v>
      </c>
      <c r="C18" s="14">
        <v>43000</v>
      </c>
      <c r="D18" s="15">
        <v>44700</v>
      </c>
      <c r="E18" s="15">
        <v>50000</v>
      </c>
      <c r="F18" s="15">
        <v>50000</v>
      </c>
      <c r="G18" s="15">
        <v>80000</v>
      </c>
      <c r="H18" s="15">
        <v>88000</v>
      </c>
      <c r="I18" s="15">
        <v>94000</v>
      </c>
      <c r="J18" s="15">
        <v>97000</v>
      </c>
      <c r="K18" s="15">
        <v>106000</v>
      </c>
      <c r="L18" s="15">
        <v>110000</v>
      </c>
      <c r="M18" s="15">
        <v>110000</v>
      </c>
      <c r="N18" s="15">
        <v>120000</v>
      </c>
      <c r="O18" s="15">
        <v>148000</v>
      </c>
      <c r="P18" s="15">
        <v>180000</v>
      </c>
      <c r="Q18" s="15">
        <v>190000</v>
      </c>
      <c r="R18" s="14">
        <v>250000</v>
      </c>
      <c r="S18" s="14">
        <v>550000</v>
      </c>
      <c r="T18" s="14">
        <v>870000</v>
      </c>
      <c r="U18" s="14">
        <v>1200000</v>
      </c>
      <c r="V18" s="14">
        <v>1500000</v>
      </c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</row>
    <row r="19" spans="1:53" x14ac:dyDescent="0.25">
      <c r="A19" s="78"/>
      <c r="B19" s="37" t="s">
        <v>79</v>
      </c>
      <c r="C19" s="14" t="s">
        <v>81</v>
      </c>
      <c r="D19" s="15" t="s">
        <v>82</v>
      </c>
      <c r="E19" s="15" t="s">
        <v>83</v>
      </c>
      <c r="F19" s="15" t="s">
        <v>83</v>
      </c>
      <c r="G19" s="15" t="s">
        <v>84</v>
      </c>
      <c r="H19" s="15" t="s">
        <v>85</v>
      </c>
      <c r="I19" s="15" t="s">
        <v>86</v>
      </c>
      <c r="J19" s="15" t="s">
        <v>87</v>
      </c>
      <c r="K19" s="15" t="s">
        <v>88</v>
      </c>
      <c r="L19" s="15" t="s">
        <v>89</v>
      </c>
      <c r="M19" s="15" t="s">
        <v>89</v>
      </c>
      <c r="N19" s="15" t="s">
        <v>90</v>
      </c>
      <c r="O19" s="15" t="s">
        <v>91</v>
      </c>
      <c r="P19" s="15">
        <v>600000</v>
      </c>
      <c r="Q19" s="15">
        <v>650000</v>
      </c>
      <c r="R19" s="14">
        <v>880000</v>
      </c>
      <c r="S19" s="14">
        <v>1900000</v>
      </c>
      <c r="T19" s="14">
        <v>3000000</v>
      </c>
      <c r="U19" s="14">
        <v>4300000</v>
      </c>
      <c r="V19" s="14">
        <v>5300000</v>
      </c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</row>
    <row r="20" spans="1:53" x14ac:dyDescent="0.25">
      <c r="A20" s="13"/>
      <c r="B20" s="37" t="s">
        <v>80</v>
      </c>
      <c r="C20" s="1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 t="s">
        <v>92</v>
      </c>
      <c r="Q20" s="15" t="s">
        <v>93</v>
      </c>
      <c r="R20" s="14" t="s">
        <v>94</v>
      </c>
      <c r="S20" s="14" t="s">
        <v>75</v>
      </c>
      <c r="T20" s="14" t="s">
        <v>95</v>
      </c>
      <c r="U20" s="14" t="s">
        <v>96</v>
      </c>
      <c r="V20" s="14" t="s">
        <v>234</v>
      </c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</row>
    <row r="21" spans="1:53" x14ac:dyDescent="0.25">
      <c r="A21" s="13"/>
      <c r="B21" s="8"/>
      <c r="C21" s="16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</row>
    <row r="22" spans="1:53" x14ac:dyDescent="0.25">
      <c r="A22" s="13"/>
      <c r="B22" s="36" t="s">
        <v>99</v>
      </c>
      <c r="C22" s="11">
        <v>2007</v>
      </c>
      <c r="D22" s="12">
        <v>2008</v>
      </c>
      <c r="E22" s="12">
        <v>2009</v>
      </c>
      <c r="F22" s="12">
        <v>2010</v>
      </c>
      <c r="G22" s="12">
        <v>2011</v>
      </c>
      <c r="H22" s="12">
        <v>2012</v>
      </c>
      <c r="I22" s="12">
        <v>2013</v>
      </c>
      <c r="J22" s="12">
        <v>2014</v>
      </c>
      <c r="K22" s="12">
        <v>2015</v>
      </c>
      <c r="L22" s="12">
        <v>2016</v>
      </c>
      <c r="M22" s="12">
        <v>2017</v>
      </c>
      <c r="N22" s="12">
        <v>2018</v>
      </c>
      <c r="O22" s="12">
        <v>2019</v>
      </c>
      <c r="P22" s="12">
        <v>2020</v>
      </c>
      <c r="Q22" s="12">
        <v>2021</v>
      </c>
      <c r="R22" s="11">
        <v>2022</v>
      </c>
      <c r="S22" s="11">
        <v>2023</v>
      </c>
      <c r="T22" s="11">
        <v>2024</v>
      </c>
      <c r="U22" s="11">
        <v>2025</v>
      </c>
      <c r="V22" s="12">
        <v>2026</v>
      </c>
      <c r="W22" s="12">
        <v>2027</v>
      </c>
      <c r="X22" s="12">
        <v>2028</v>
      </c>
      <c r="Y22" s="12">
        <v>2029</v>
      </c>
      <c r="Z22" s="12">
        <v>2030</v>
      </c>
      <c r="AA22" s="12">
        <v>2031</v>
      </c>
      <c r="AB22" s="12">
        <v>2032</v>
      </c>
      <c r="AC22" s="12">
        <v>2033</v>
      </c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</row>
    <row r="23" spans="1:53" x14ac:dyDescent="0.25">
      <c r="A23" s="13"/>
      <c r="B23" s="38" t="s">
        <v>100</v>
      </c>
      <c r="C23" s="15">
        <v>0</v>
      </c>
      <c r="D23" s="15">
        <v>0</v>
      </c>
      <c r="E23" s="15">
        <v>0</v>
      </c>
      <c r="F23" s="15">
        <v>680</v>
      </c>
      <c r="G23" s="15">
        <v>700</v>
      </c>
      <c r="H23" s="15">
        <v>770</v>
      </c>
      <c r="I23" s="15">
        <v>800</v>
      </c>
      <c r="J23" s="15">
        <v>800</v>
      </c>
      <c r="K23" s="15">
        <v>880</v>
      </c>
      <c r="L23" s="15">
        <v>900</v>
      </c>
      <c r="M23" s="15">
        <v>900</v>
      </c>
      <c r="N23" s="15">
        <v>1000</v>
      </c>
      <c r="O23" s="15">
        <v>1200</v>
      </c>
      <c r="P23" s="15">
        <v>1400</v>
      </c>
      <c r="Q23" s="15">
        <v>1500</v>
      </c>
      <c r="R23" s="15">
        <v>2000</v>
      </c>
      <c r="S23" s="15">
        <v>4400</v>
      </c>
      <c r="T23" s="15">
        <v>6900</v>
      </c>
      <c r="U23" s="15">
        <v>9900</v>
      </c>
      <c r="V23" s="15">
        <v>12000</v>
      </c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</row>
    <row r="24" spans="1:53" x14ac:dyDescent="0.25">
      <c r="A24" s="13"/>
      <c r="B24" s="38" t="s">
        <v>101</v>
      </c>
      <c r="C24" s="15">
        <v>0</v>
      </c>
      <c r="D24" s="15">
        <v>0</v>
      </c>
      <c r="E24" s="15">
        <v>0</v>
      </c>
      <c r="F24" s="15">
        <v>330</v>
      </c>
      <c r="G24" s="15">
        <v>350</v>
      </c>
      <c r="H24" s="15">
        <v>380</v>
      </c>
      <c r="I24" s="15">
        <v>400</v>
      </c>
      <c r="J24" s="15">
        <v>400</v>
      </c>
      <c r="K24" s="15">
        <v>440</v>
      </c>
      <c r="L24" s="15">
        <v>460</v>
      </c>
      <c r="M24" s="15">
        <v>470</v>
      </c>
      <c r="N24" s="15">
        <v>530</v>
      </c>
      <c r="O24" s="15">
        <v>650</v>
      </c>
      <c r="P24" s="15">
        <v>790</v>
      </c>
      <c r="Q24" s="15">
        <v>860</v>
      </c>
      <c r="R24" s="15">
        <v>1170</v>
      </c>
      <c r="S24" s="15">
        <v>2600</v>
      </c>
      <c r="T24" s="15">
        <v>4000</v>
      </c>
      <c r="U24" s="15">
        <v>5700</v>
      </c>
      <c r="V24" s="15">
        <v>7000</v>
      </c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</row>
    <row r="25" spans="1:53" x14ac:dyDescent="0.25">
      <c r="A25" s="13"/>
      <c r="B25" s="38" t="s">
        <v>102</v>
      </c>
      <c r="C25" s="15">
        <v>0</v>
      </c>
      <c r="D25" s="15">
        <v>0</v>
      </c>
      <c r="E25" s="15">
        <v>0</v>
      </c>
      <c r="F25" s="15">
        <v>160</v>
      </c>
      <c r="G25" s="15">
        <v>170</v>
      </c>
      <c r="H25" s="15">
        <v>180</v>
      </c>
      <c r="I25" s="15">
        <v>190</v>
      </c>
      <c r="J25" s="15">
        <v>190</v>
      </c>
      <c r="K25" s="15">
        <v>200</v>
      </c>
      <c r="L25" s="15">
        <v>210</v>
      </c>
      <c r="M25" s="15">
        <v>210</v>
      </c>
      <c r="N25" s="15">
        <v>240</v>
      </c>
      <c r="O25" s="15">
        <v>290</v>
      </c>
      <c r="P25" s="15">
        <v>350</v>
      </c>
      <c r="Q25" s="15">
        <v>380</v>
      </c>
      <c r="R25" s="15">
        <v>500</v>
      </c>
      <c r="S25" s="15">
        <v>1100</v>
      </c>
      <c r="T25" s="15">
        <v>1700</v>
      </c>
      <c r="U25" s="15">
        <v>2400</v>
      </c>
      <c r="V25" s="15">
        <v>3000</v>
      </c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</row>
    <row r="28" spans="1:53" x14ac:dyDescent="0.25">
      <c r="C28" s="6" t="s">
        <v>65</v>
      </c>
    </row>
    <row r="29" spans="1:53" x14ac:dyDescent="0.25">
      <c r="C29" s="5" t="s">
        <v>46</v>
      </c>
    </row>
    <row r="30" spans="1:53" x14ac:dyDescent="0.25">
      <c r="C30" s="5" t="s">
        <v>47</v>
      </c>
    </row>
    <row r="31" spans="1:53" x14ac:dyDescent="0.25">
      <c r="C31" s="5" t="s">
        <v>48</v>
      </c>
    </row>
    <row r="32" spans="1:53" x14ac:dyDescent="0.25">
      <c r="C32" s="5" t="s">
        <v>97</v>
      </c>
    </row>
    <row r="33" spans="3:3" x14ac:dyDescent="0.25">
      <c r="C33" s="6" t="s">
        <v>33</v>
      </c>
    </row>
    <row r="34" spans="3:3" x14ac:dyDescent="0.25">
      <c r="C34" s="6" t="s">
        <v>49</v>
      </c>
    </row>
    <row r="35" spans="3:3" x14ac:dyDescent="0.25">
      <c r="C35" s="6" t="s">
        <v>113</v>
      </c>
    </row>
  </sheetData>
  <sheetProtection sheet="1" objects="1" scenarios="1"/>
  <phoneticPr fontId="9" type="noConversion"/>
  <hyperlinks>
    <hyperlink ref="C31" r:id="rId1" xr:uid="{F0641C88-369C-4FF1-9A1E-96F7753C7B2C}"/>
    <hyperlink ref="C30" r:id="rId2" xr:uid="{D0EC086B-6656-4C90-9444-EABCC6829DA0}"/>
    <hyperlink ref="C29" r:id="rId3" xr:uid="{FDFA1EFA-93E7-458C-AC7F-91177D08FD71}"/>
    <hyperlink ref="C32" r:id="rId4" xr:uid="{461410EF-A512-4319-829E-B7628D17DBA8}"/>
  </hyperlinks>
  <pageMargins left="0.7" right="0.7" top="0.75" bottom="0.75" header="0.3" footer="0.3"/>
  <pageSetup paperSize="9" orientation="portrait" verticalDpi="0"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zoomScale="80" zoomScaleNormal="80" zoomScaleSheetLayoutView="80" workbookViewId="0">
      <selection activeCell="D6" sqref="D6:E6"/>
    </sheetView>
  </sheetViews>
  <sheetFormatPr defaultRowHeight="15" x14ac:dyDescent="0.25"/>
  <cols>
    <col min="1" max="1" width="24.7109375" style="2" customWidth="1"/>
    <col min="2" max="2" width="30.7109375" style="2" customWidth="1"/>
    <col min="3" max="5" width="24.7109375" style="2" customWidth="1"/>
    <col min="6" max="6" width="15.7109375" style="2" customWidth="1"/>
    <col min="7" max="7" width="24.7109375" style="2" customWidth="1"/>
    <col min="8" max="8" width="65.7109375" style="2" customWidth="1"/>
    <col min="9" max="16384" width="9.140625" style="2"/>
  </cols>
  <sheetData>
    <row r="1" spans="1:11" ht="15" customHeight="1" x14ac:dyDescent="0.25">
      <c r="A1" s="91" t="s">
        <v>218</v>
      </c>
      <c r="B1" s="91"/>
      <c r="C1" s="91"/>
      <c r="D1" s="91"/>
      <c r="E1" s="17" t="s">
        <v>0</v>
      </c>
      <c r="G1" s="97" t="s">
        <v>112</v>
      </c>
      <c r="H1" s="97"/>
    </row>
    <row r="2" spans="1:11" x14ac:dyDescent="0.25">
      <c r="A2" s="90" t="s">
        <v>64</v>
      </c>
      <c r="B2" s="90"/>
      <c r="C2" s="90"/>
      <c r="D2" s="90"/>
      <c r="E2" s="90"/>
      <c r="G2" s="90" t="s">
        <v>74</v>
      </c>
      <c r="H2" s="90"/>
    </row>
    <row r="3" spans="1:11" ht="15.75" x14ac:dyDescent="0.25">
      <c r="A3" s="94" t="s">
        <v>5</v>
      </c>
      <c r="B3" s="94"/>
      <c r="C3" s="94"/>
      <c r="D3" s="94"/>
      <c r="E3" s="94"/>
      <c r="G3" s="34"/>
      <c r="H3" s="34"/>
    </row>
    <row r="4" spans="1:11" x14ac:dyDescent="0.25">
      <c r="A4" s="18" t="s">
        <v>31</v>
      </c>
      <c r="B4" s="68"/>
      <c r="C4" s="18" t="s">
        <v>32</v>
      </c>
      <c r="D4" s="93"/>
      <c r="E4" s="93"/>
      <c r="G4" s="69" t="s">
        <v>135</v>
      </c>
      <c r="H4" s="31" t="s">
        <v>103</v>
      </c>
    </row>
    <row r="5" spans="1:11" x14ac:dyDescent="0.25">
      <c r="A5" s="18" t="s">
        <v>1</v>
      </c>
      <c r="B5" s="68"/>
      <c r="C5" s="18" t="s">
        <v>32</v>
      </c>
      <c r="D5" s="93"/>
      <c r="E5" s="93"/>
      <c r="G5" s="32">
        <f>IFERROR(   INDEX('Gelir Vergisi Verileri'!C23:BA25,   MATCH(Bordro!G4,'Gelir Vergisi Verileri'!B23:B25,0),   MATCH(Bordro!D8,'Gelir Vergisi Verileri'!C22:BA22,0)   ),   0   )</f>
        <v>0</v>
      </c>
      <c r="H5" s="31" t="s">
        <v>104</v>
      </c>
    </row>
    <row r="6" spans="1:11" ht="15.75" x14ac:dyDescent="0.25">
      <c r="A6" s="18" t="s">
        <v>2</v>
      </c>
      <c r="B6" s="68"/>
      <c r="C6" s="18" t="s">
        <v>54</v>
      </c>
      <c r="D6" s="93" t="s">
        <v>114</v>
      </c>
      <c r="E6" s="93"/>
      <c r="G6" s="34"/>
      <c r="H6" s="34"/>
    </row>
    <row r="7" spans="1:11" x14ac:dyDescent="0.25">
      <c r="A7" s="18" t="s">
        <v>3</v>
      </c>
      <c r="B7" s="69"/>
      <c r="C7" s="18" t="s">
        <v>223</v>
      </c>
      <c r="D7" s="69" t="s">
        <v>224</v>
      </c>
      <c r="E7" s="69">
        <v>5510</v>
      </c>
      <c r="G7" s="70" t="s">
        <v>135</v>
      </c>
      <c r="H7" s="31" t="s">
        <v>105</v>
      </c>
    </row>
    <row r="8" spans="1:11" x14ac:dyDescent="0.25">
      <c r="A8" s="18" t="s">
        <v>4</v>
      </c>
      <c r="B8" s="81"/>
      <c r="C8" s="18" t="s">
        <v>55</v>
      </c>
      <c r="D8" s="69">
        <v>2026</v>
      </c>
      <c r="E8" s="77" t="s">
        <v>35</v>
      </c>
      <c r="G8" s="70">
        <v>0</v>
      </c>
      <c r="H8" s="31" t="s">
        <v>106</v>
      </c>
    </row>
    <row r="9" spans="1:11" x14ac:dyDescent="0.25">
      <c r="A9" s="95" t="s">
        <v>217</v>
      </c>
      <c r="B9" s="96"/>
      <c r="C9" s="18" t="s">
        <v>68</v>
      </c>
      <c r="D9" s="81"/>
      <c r="E9" s="69">
        <v>20</v>
      </c>
      <c r="G9" s="32">
        <f>ROUND(
   IF(G7="Hayır",0,
   IF(G7="Birikim Primi Alınan",G8/2,
   IF(G7="Birikim Primi Alınmayan",G8,
      0
   ))),
2)</f>
        <v>0</v>
      </c>
      <c r="H9" s="31" t="s">
        <v>107</v>
      </c>
    </row>
    <row r="10" spans="1:11" x14ac:dyDescent="0.25">
      <c r="A10" s="96"/>
      <c r="B10" s="96"/>
      <c r="C10" s="18" t="s">
        <v>205</v>
      </c>
      <c r="D10" s="81"/>
      <c r="E10" s="70" t="s">
        <v>212</v>
      </c>
      <c r="G10" s="1"/>
      <c r="H10" s="1"/>
    </row>
    <row r="11" spans="1:11" x14ac:dyDescent="0.25">
      <c r="A11" s="96"/>
      <c r="B11" s="96"/>
      <c r="C11" s="18" t="s">
        <v>206</v>
      </c>
      <c r="D11" s="19">
        <f>IF(G30&lt;&gt;"",G30,
INDEX('Gelir Vergisi Verileri'!C2:BA13,   MATCH(Bordro!E8,'Gelir Vergisi Verileri'!B2:B13,0),   MATCH(Bordro!D8,'Gelir Vergisi Verileri'!C1:BA1,0)   )
)</f>
        <v>4211.33</v>
      </c>
      <c r="E11" s="20">
        <f xml:space="preserve">
IF(E8="Ocak",31,
IF(E8="Şubat",          IF(MOD($D$8,4)=0,29,28),
IF(E8="Mart",31,
IF(E8="Nisan",30,
IF(E8="Mayıs",31,
IF(E8="Haziran",30,
IF(E8="Temmuz",31,
IF(E8="Ağustos",31,
IF(E8="Eylül",30,
IF(E8="Ekim",31,
IF(E8="Kasım",30,
IF(E8="Aralık",31,
"Bu ayın gün sayısı"
))))))))))))</f>
        <v>31</v>
      </c>
      <c r="G11" s="69" t="s">
        <v>115</v>
      </c>
      <c r="H11" s="31" t="s">
        <v>109</v>
      </c>
    </row>
    <row r="12" spans="1:11" x14ac:dyDescent="0.25">
      <c r="A12" s="94" t="s">
        <v>6</v>
      </c>
      <c r="B12" s="94"/>
      <c r="C12" s="94"/>
      <c r="D12" s="94"/>
      <c r="E12" s="94"/>
      <c r="G12" s="70">
        <v>0</v>
      </c>
      <c r="H12" s="31" t="s">
        <v>110</v>
      </c>
    </row>
    <row r="13" spans="1:11" ht="69.95" customHeight="1" x14ac:dyDescent="0.25">
      <c r="A13" s="21"/>
      <c r="B13" s="21"/>
      <c r="C13" s="22" t="s">
        <v>17</v>
      </c>
      <c r="D13" s="22" t="str">
        <f>"HAK-EDİLEN "&amp;IF($D$6='Gelir Vergisi Verileri'!$A$2,
"b=(a/Ödemenin yapıldığı aydaki gün sayısı*Çalışılan gün sayısı)+(a/Ödemenin yapıldığı aydaki gün sayısı*çalışılmayan gün sayısı*2/3",
"b=a/Ödemenin yapıldığı aydaki gün sayısı*Çalışılan gün sayısı")</f>
        <v>HAK-EDİLEN b=a/Ödemenin yapıldığı aydaki gün sayısı*Çalışılan gün sayısı</v>
      </c>
      <c r="E13" s="22" t="s">
        <v>18</v>
      </c>
      <c r="G13" s="32">
        <f xml:space="preserve">
IF(G11="İade Edilmesin",G12,
IF(G11="Kısmen İade Edisin",ROUND(G12*E9/E11,2)   +   IF(D6='Gelir Vergisi Verileri'!A2,   ROUND(G12*(E11-E9)/E11*2/3,2),   0),
IF(G11="Tamamı İade Edilsin",0,
0)))</f>
        <v>0</v>
      </c>
      <c r="H13" s="31" t="s">
        <v>111</v>
      </c>
      <c r="K13" s="7"/>
    </row>
    <row r="14" spans="1:11" x14ac:dyDescent="0.25">
      <c r="A14" s="92" t="s">
        <v>21</v>
      </c>
      <c r="B14" s="18" t="s">
        <v>24</v>
      </c>
      <c r="C14" s="71"/>
      <c r="D14" s="73">
        <f>ROUND(   C14*$E$9/$E$11,   2)
+IF($D$6='Gelir Vergisi Verileri'!$A$2,  ROUND(C14*($E$11-$E$9)/$E$11*2/3, 2),0)</f>
        <v>0</v>
      </c>
      <c r="E14" s="23">
        <f>ROUND(C14-D14,2)</f>
        <v>0</v>
      </c>
      <c r="G14" s="1"/>
      <c r="H14" s="1"/>
    </row>
    <row r="15" spans="1:11" x14ac:dyDescent="0.25">
      <c r="A15" s="92"/>
      <c r="B15" s="18" t="s">
        <v>25</v>
      </c>
      <c r="C15" s="71"/>
      <c r="D15" s="73">
        <f>ROUND(   C15*$E$9/$E$11,   2)
+IF($D$6='Gelir Vergisi Verileri'!$A$2,  ROUND(C15*($E$11-$E$9)/$E$11*2/3, 2),0)</f>
        <v>0</v>
      </c>
      <c r="E15" s="23">
        <f t="shared" ref="E15:E46" si="0">ROUND(C15-D15,2)</f>
        <v>0</v>
      </c>
      <c r="G15" s="69" t="s">
        <v>115</v>
      </c>
      <c r="H15" s="31" t="s">
        <v>132</v>
      </c>
    </row>
    <row r="16" spans="1:11" ht="15" customHeight="1" x14ac:dyDescent="0.25">
      <c r="A16" s="92"/>
      <c r="B16" s="18" t="s">
        <v>7</v>
      </c>
      <c r="C16" s="71"/>
      <c r="D16" s="73">
        <f>ROUND(   C16*$E$9/$E$11,   2)
+IF($D$6='Gelir Vergisi Verileri'!$A$2,  ROUND(C16*($E$11-$E$9)/$E$11*2/3, 2),0)</f>
        <v>0</v>
      </c>
      <c r="E16" s="23">
        <f t="shared" si="0"/>
        <v>0</v>
      </c>
      <c r="G16" s="70">
        <v>0</v>
      </c>
      <c r="H16" s="31" t="s">
        <v>133</v>
      </c>
    </row>
    <row r="17" spans="1:8" x14ac:dyDescent="0.25">
      <c r="A17" s="92"/>
      <c r="B17" s="18" t="s">
        <v>8</v>
      </c>
      <c r="C17" s="71"/>
      <c r="D17" s="73">
        <f>ROUND(   C17*$E$9/$E$11,   2)
+IF($D$6='Gelir Vergisi Verileri'!$A$2,  ROUND(C17*($E$11-$E$9)/$E$11*2/3, 2),0)</f>
        <v>0</v>
      </c>
      <c r="E17" s="23">
        <f t="shared" si="0"/>
        <v>0</v>
      </c>
      <c r="G17" s="32">
        <f xml:space="preserve">
IF(G15="İade Edilmesin",G16,
IF(G15="Kısmen İade Edisin",ROUND(G16*E9/E11,2)   +   IF(D6='Gelir Vergisi Verileri'!A2,   ROUND(G16*(E11-E9)/E11*2/3,2),   0),
IF(G15="Tamamı İade Edilsin",0,
0)))</f>
        <v>0</v>
      </c>
      <c r="H17" s="31" t="s">
        <v>134</v>
      </c>
    </row>
    <row r="18" spans="1:8" x14ac:dyDescent="0.25">
      <c r="A18" s="92"/>
      <c r="B18" s="18" t="s">
        <v>26</v>
      </c>
      <c r="C18" s="71"/>
      <c r="D18" s="73">
        <f>ROUND(   C18*$E$9/$E$11,   2)
+IF($D$6='Gelir Vergisi Verileri'!$A$2,  ROUND(C18*($E$11-$E$9)/$E$11*2/3, 2),0)</f>
        <v>0</v>
      </c>
      <c r="E18" s="23">
        <f t="shared" si="0"/>
        <v>0</v>
      </c>
      <c r="G18" s="40"/>
      <c r="H18" s="1"/>
    </row>
    <row r="19" spans="1:8" x14ac:dyDescent="0.25">
      <c r="A19" s="92"/>
      <c r="B19" s="18" t="s">
        <v>9</v>
      </c>
      <c r="C19" s="71"/>
      <c r="D19" s="23">
        <f xml:space="preserve">
IF($E$9=0,   0,
IF($D$6='Gelir Vergisi Verileri'!A8,0,
IF($D$6='Gelir Vergisi Verileri'!A10,0,
   C19
)))</f>
        <v>0</v>
      </c>
      <c r="E19" s="24">
        <f t="shared" si="0"/>
        <v>0</v>
      </c>
      <c r="G19" s="41">
        <f>C14+C15+C16+C17+C18+C25+C28+C33+C38+C43+C44   -C54-C55-C56   -G5-G9-G12-G16   -G21</f>
        <v>0</v>
      </c>
      <c r="H19" s="28" t="s">
        <v>71</v>
      </c>
    </row>
    <row r="20" spans="1:8" x14ac:dyDescent="0.25">
      <c r="A20" s="92"/>
      <c r="B20" s="18" t="s">
        <v>10</v>
      </c>
      <c r="C20" s="71"/>
      <c r="D20" s="23">
        <f xml:space="preserve">
IF($E$9=0,   0,
IF($D$6='Gelir Vergisi Verileri'!A9,0,
IF($D$6='Gelir Vergisi Verileri'!A10,0,
   C20
)))</f>
        <v>0</v>
      </c>
      <c r="E20" s="24">
        <f t="shared" si="0"/>
        <v>0</v>
      </c>
      <c r="G20" s="79"/>
      <c r="H20" s="28" t="s">
        <v>227</v>
      </c>
    </row>
    <row r="21" spans="1:8" x14ac:dyDescent="0.25">
      <c r="A21" s="92"/>
      <c r="B21" s="18" t="s">
        <v>126</v>
      </c>
      <c r="C21" s="71"/>
      <c r="D21" s="23">
        <f>IF($E$9=0,   0,   C21)</f>
        <v>0</v>
      </c>
      <c r="E21" s="24">
        <f t="shared" si="0"/>
        <v>0</v>
      </c>
      <c r="G21" s="79"/>
      <c r="H21" s="28" t="s">
        <v>228</v>
      </c>
    </row>
    <row r="22" spans="1:8" x14ac:dyDescent="0.25">
      <c r="A22" s="92"/>
      <c r="B22" s="18" t="s">
        <v>11</v>
      </c>
      <c r="C22" s="71"/>
      <c r="D22" s="23">
        <f>ROUND(   C22*$E$9/$E$11,   2)
+IF($D$6='Gelir Vergisi Verileri'!$A$2,  ROUND(C22*($E$11-$E$9)/$E$11*2/3, 2),0)</f>
        <v>0</v>
      </c>
      <c r="E22" s="23">
        <f t="shared" si="0"/>
        <v>0</v>
      </c>
      <c r="F22" s="7"/>
      <c r="G22" s="23">
        <f>D14+D15+D16+D17+D18+D25+D28+D33+D38+D43+D44   -D54-D55-D56   -G5-G9-G13-G17     -G21</f>
        <v>0</v>
      </c>
      <c r="H22" s="28" t="s">
        <v>229</v>
      </c>
    </row>
    <row r="23" spans="1:8" x14ac:dyDescent="0.25">
      <c r="A23" s="92"/>
      <c r="B23" s="18" t="s">
        <v>52</v>
      </c>
      <c r="C23" s="71"/>
      <c r="D23" s="23">
        <f>ROUND(   C23*$E$9/$E$11,   2)
+IF($D$6='Gelir Vergisi Verileri'!$A$2,  ROUND(C23*($E$11-$E$9)/$E$11*2/3, 2),0)</f>
        <v>0</v>
      </c>
      <c r="E23" s="23">
        <f t="shared" si="0"/>
        <v>0</v>
      </c>
      <c r="G23" s="23">
        <f>HLOOKUP($D$8,'Gelir Vergisi Verileri'!$C$15:$BA$20,2,0)</f>
        <v>190000</v>
      </c>
      <c r="H23" s="33" t="s">
        <v>76</v>
      </c>
    </row>
    <row r="24" spans="1:8" x14ac:dyDescent="0.25">
      <c r="A24" s="92"/>
      <c r="B24" s="18" t="s">
        <v>125</v>
      </c>
      <c r="C24" s="71"/>
      <c r="D24" s="23">
        <f>ROUND(   C24*$E$9/$E$11,   2)
+IF($D$6='Gelir Vergisi Verileri'!$A$2,  ROUND(C24*($E$11-$E$9)/$E$11*2/3, 2),0)</f>
        <v>0</v>
      </c>
      <c r="E24" s="23">
        <f t="shared" si="0"/>
        <v>0</v>
      </c>
      <c r="G24" s="23">
        <f>HLOOKUP($D$8,'Gelir Vergisi Verileri'!$C$15:$BA$20,3,0)</f>
        <v>400000</v>
      </c>
      <c r="H24" s="33" t="s">
        <v>77</v>
      </c>
    </row>
    <row r="25" spans="1:8" x14ac:dyDescent="0.25">
      <c r="A25" s="92"/>
      <c r="B25" s="18" t="s">
        <v>131</v>
      </c>
      <c r="C25" s="71"/>
      <c r="D25" s="73">
        <f>ROUND(   C25*$E$9/$E$11,   2)
+IF($D$6='Gelir Vergisi Verileri'!$A$2,  ROUND(C25*($E$11-$E$9)/$E$11*2/3, 2),0)</f>
        <v>0</v>
      </c>
      <c r="E25" s="23">
        <f t="shared" si="0"/>
        <v>0</v>
      </c>
      <c r="G25" s="23">
        <f>HLOOKUP($D$8,'Gelir Vergisi Verileri'!$C$15:$BA$20,4,0)</f>
        <v>1500000</v>
      </c>
      <c r="H25" s="33" t="s">
        <v>78</v>
      </c>
    </row>
    <row r="26" spans="1:8" x14ac:dyDescent="0.25">
      <c r="A26" s="92"/>
      <c r="B26" s="18" t="s">
        <v>130</v>
      </c>
      <c r="C26" s="71"/>
      <c r="D26" s="23">
        <f>ROUND(   C26*$E$9/$E$11,   2)
+IF($D$6='Gelir Vergisi Verileri'!$A$2,  ROUND(C26*($E$11-$E$9)/$E$11*2/3, 2),0)</f>
        <v>0</v>
      </c>
      <c r="E26" s="23">
        <f t="shared" si="0"/>
        <v>0</v>
      </c>
      <c r="G26" s="39">
        <f>HLOOKUP($D$8,'Gelir Vergisi Verileri'!$C$15:$BA$20,5,0)</f>
        <v>5300000</v>
      </c>
      <c r="H26" s="33" t="s">
        <v>79</v>
      </c>
    </row>
    <row r="27" spans="1:8" x14ac:dyDescent="0.25">
      <c r="A27" s="92"/>
      <c r="B27" s="18" t="s">
        <v>27</v>
      </c>
      <c r="C27" s="71"/>
      <c r="D27" s="23">
        <f>ROUND(   C27*$E$9/$E$11,   2)
+IF($D$6='Gelir Vergisi Verileri'!$A$2,  ROUND(C27*($E$11-$E$9)/$E$11*2/3, 2),0)</f>
        <v>0</v>
      </c>
      <c r="E27" s="23">
        <f t="shared" si="0"/>
        <v>0</v>
      </c>
      <c r="G27" s="39" t="str">
        <f>IF(
HLOOKUP($D$8,'Gelir Vergisi Verileri'!$C$15:$BA$20,6,0)="","",
HLOOKUP($D$8,'Gelir Vergisi Verileri'!$C$15:$BA$20,6,0)
)</f>
        <v>5.300.000 +</v>
      </c>
      <c r="H27" s="33" t="str">
        <f>IF(G27="","","%40 Vergi Dilimi")</f>
        <v>%40 Vergi Dilimi</v>
      </c>
    </row>
    <row r="28" spans="1:8" x14ac:dyDescent="0.25">
      <c r="A28" s="92"/>
      <c r="B28" s="18" t="s">
        <v>127</v>
      </c>
      <c r="C28" s="71"/>
      <c r="D28" s="73">
        <f>ROUND(   C28*$E$9/$E$11,   2)
+IF($D$6='Gelir Vergisi Verileri'!$A$2,  ROUND(C28*($E$11-$E$9)/$E$11*2/3, 2),0)</f>
        <v>0</v>
      </c>
      <c r="E28" s="23">
        <f t="shared" si="0"/>
        <v>0</v>
      </c>
      <c r="G28" s="23">
        <f xml:space="preserve">
ROUND(
IF(             (G22+G20)&lt;=G23,        G22*15/100,
IF(   AND(G20&lt;=G23,(G22+G20)&gt;G23),   (G23-G20)*15/100   +   ((G22+G20)-G23)*20/100,
IF(             (G22+G20)&lt;=G24,        G22*20/100,
IF(   AND(G20&lt;=G24,(G22+G20)&gt;G24),   (G24-G20)*20/100   +   ((G22+G20)-G24)*27/100,
IF(             (G22+G20)&lt;=G25,        G22*27/100,
IF(   AND(G20&lt;=G25,(G22+G20)&gt;G25),   (G25-G20)*27/100   +   ((G22+G20)-G25)*35/100,
IF(             (G22+G20)&lt;=G26,        G22*35/100,
IF(   AND(G20&lt;=G26,(G22+G20)&gt;G26),   (G26-G20)*35/100   +   ((G22+G20)-G26)*40/100,
IF(             (G22+G20)&gt;G26,        G22*40/100,
))))))))),2)</f>
        <v>0</v>
      </c>
      <c r="H28" s="28" t="s">
        <v>72</v>
      </c>
    </row>
    <row r="29" spans="1:8" x14ac:dyDescent="0.25">
      <c r="A29" s="92"/>
      <c r="B29" s="18" t="s">
        <v>62</v>
      </c>
      <c r="C29" s="71"/>
      <c r="D29" s="23">
        <f>ROUND(   C29*$E$9/$E$11,   2)
+IF($D$6='Gelir Vergisi Verileri'!$A$2,  ROUND(C29*($E$11-$E$9)/$E$11*2/3, 2),0)</f>
        <v>0</v>
      </c>
      <c r="E29" s="23">
        <f t="shared" si="0"/>
        <v>0</v>
      </c>
      <c r="G29" s="23">
        <f>D11</f>
        <v>4211.33</v>
      </c>
      <c r="H29" s="28" t="s">
        <v>117</v>
      </c>
    </row>
    <row r="30" spans="1:8" x14ac:dyDescent="0.25">
      <c r="A30" s="92"/>
      <c r="B30" s="18" t="s">
        <v>61</v>
      </c>
      <c r="C30" s="71"/>
      <c r="D30" s="23">
        <f>ROUND(   C30*$E$9/$E$11,   2)
+IF($D$6='Gelir Vergisi Verileri'!$A$2,  ROUND(C30*($E$11-$E$9)/$E$11*2/3, 2),0)</f>
        <v>0</v>
      </c>
      <c r="E30" s="23">
        <f t="shared" si="0"/>
        <v>0</v>
      </c>
      <c r="G30" s="79"/>
      <c r="H30" s="28" t="s">
        <v>116</v>
      </c>
    </row>
    <row r="31" spans="1:8" x14ac:dyDescent="0.25">
      <c r="A31" s="92"/>
      <c r="B31" s="18" t="s">
        <v>118</v>
      </c>
      <c r="C31" s="71"/>
      <c r="D31" s="23">
        <f>ROUND(   C31*$E$9/$E$11,   2)
+IF($D$6='Gelir Vergisi Verileri'!$A$2,  ROUND(C31*($E$11-$E$9)/$E$11*2/3, 2),0)</f>
        <v>0</v>
      </c>
      <c r="E31" s="23">
        <f t="shared" si="0"/>
        <v>0</v>
      </c>
      <c r="G31" s="23">
        <f>IF(G28-G29&lt;0,0,G28-G29)</f>
        <v>0</v>
      </c>
      <c r="H31" s="28" t="s">
        <v>73</v>
      </c>
    </row>
    <row r="32" spans="1:8" x14ac:dyDescent="0.25">
      <c r="A32" s="92"/>
      <c r="B32" s="18" t="s">
        <v>119</v>
      </c>
      <c r="C32" s="71"/>
      <c r="D32" s="23">
        <f>ROUND(   C32*$E$9/$E$11,   2)
+IF($D$6='Gelir Vergisi Verileri'!$A$2,  ROUND(C32*($E$11-$E$9)/$E$11*2/3, 2),0)</f>
        <v>0</v>
      </c>
      <c r="E32" s="23">
        <f t="shared" si="0"/>
        <v>0</v>
      </c>
      <c r="G32" s="19" t="s">
        <v>108</v>
      </c>
      <c r="H32" s="19" t="str">
        <f xml:space="preserve">
IF(             (G22+G20)&lt;=G23,   "%15 ("&amp; ROUND( G22,2)&amp;")",
IF(   AND(G20&lt;G23,(G22+G20)&gt;G23),   "%15 ("&amp; ROUND((G23-G20),2)&amp;")"   &amp;"   +   "&amp;   "%20 ("&amp; ROUND(((G22+G20)-G23),2)&amp;")",
IF(             (G22+G20)&lt;=G24,   "%20 ("&amp; ROUND( G22,2)&amp;")",
IF(   AND(G20&lt;G24,(G22+G20)&gt;G24),   "%20 ("&amp; ROUND((G24-G20),2)&amp;")"   &amp;"   +   "&amp;   "%27 ("&amp; ROUND(((G22+G20)-G24),2)&amp;")",
IF(             (G22+G20)&lt;=G25,   "%27 ("&amp; ROUND( G22,2)&amp;")",
IF(   AND(G20&lt;G25,(G22+G20)&gt;G25),   "%27 ("&amp; ROUND((G25-G20),2)&amp;")"   &amp;"   +   "&amp;   "%35 ("&amp; ROUND(((G22+G20)-G25),2)&amp;")",
IF(             (G22+G20)&lt;=G26,   "%35 ("&amp; ROUND( G22,2)&amp;")",
IF(   AND(G20&lt;G26,(G22+G20)&gt;G26),   "%35 ("&amp; ROUND((G26-G20),2)&amp;")"   &amp;"   +   "&amp;   "%40 ("&amp; ROUND(((G22+G20)-G26),2)&amp;")",
IF(             (G22+G20)&gt;G26,    "%40 ("&amp; ROUND( G22,2)&amp;")",
)))))))))</f>
        <v>%15 (0)</v>
      </c>
    </row>
    <row r="33" spans="1:8" x14ac:dyDescent="0.25">
      <c r="A33" s="92"/>
      <c r="B33" s="18" t="s">
        <v>12</v>
      </c>
      <c r="C33" s="71"/>
      <c r="D33" s="73">
        <f>ROUND(   C33*$E$9/$E$11,   2)
+IF($D$6='Gelir Vergisi Verileri'!$A$2,  ROUND(C33*($E$11-$E$9)/$E$11*2/3, 2),0)</f>
        <v>0</v>
      </c>
      <c r="E33" s="23">
        <f t="shared" si="0"/>
        <v>0</v>
      </c>
    </row>
    <row r="34" spans="1:8" x14ac:dyDescent="0.25">
      <c r="A34" s="92"/>
      <c r="B34" s="18" t="s">
        <v>13</v>
      </c>
      <c r="C34" s="71"/>
      <c r="D34" s="23">
        <f>ROUND(   C34*$E$9/$E$11,   2)
+IF($D$6='Gelir Vergisi Verileri'!$A$2,  ROUND(C34*($E$11-$E$9)/$E$11*2/3, 2),0)</f>
        <v>0</v>
      </c>
      <c r="E34" s="23">
        <f t="shared" si="0"/>
        <v>0</v>
      </c>
    </row>
    <row r="35" spans="1:8" x14ac:dyDescent="0.25">
      <c r="A35" s="92"/>
      <c r="B35" s="18" t="s">
        <v>50</v>
      </c>
      <c r="C35" s="71"/>
      <c r="D35" s="23">
        <f>ROUND(   C35*$E$9/$E$11,   2)
+IF($D$6='Gelir Vergisi Verileri'!$A$2,  ROUND(C35*($E$11-$E$9)/$E$11*2/3, 2),0)</f>
        <v>0</v>
      </c>
      <c r="E35" s="23">
        <f t="shared" si="0"/>
        <v>0</v>
      </c>
    </row>
    <row r="36" spans="1:8" x14ac:dyDescent="0.25">
      <c r="A36" s="92"/>
      <c r="B36" s="18" t="s">
        <v>51</v>
      </c>
      <c r="C36" s="71"/>
      <c r="D36" s="23">
        <f>ROUND(   C36*$E$9/$E$11,   2)
+IF($D$6='Gelir Vergisi Verileri'!$A$2,  ROUND(C36*($E$11-$E$9)/$E$11*2/3, 2),0)</f>
        <v>0</v>
      </c>
      <c r="E36" s="23">
        <f t="shared" si="0"/>
        <v>0</v>
      </c>
    </row>
    <row r="37" spans="1:8" x14ac:dyDescent="0.25">
      <c r="A37" s="92"/>
      <c r="B37" s="18" t="s">
        <v>14</v>
      </c>
      <c r="C37" s="71"/>
      <c r="D37" s="23">
        <f>ROUND(   C37*$E$9/$E$11,   2)
+IF($D$6='Gelir Vergisi Verileri'!$A$2,  ROUND(C37*($E$11-$E$9)/$E$11*2/3, 2),0)</f>
        <v>0</v>
      </c>
      <c r="E37" s="23">
        <f t="shared" si="0"/>
        <v>0</v>
      </c>
    </row>
    <row r="38" spans="1:8" x14ac:dyDescent="0.25">
      <c r="A38" s="92"/>
      <c r="B38" s="18" t="s">
        <v>120</v>
      </c>
      <c r="C38" s="71"/>
      <c r="D38" s="73">
        <f>ROUND(   C38*$E$9/$E$11,   2)
+IF($D$6='Gelir Vergisi Verileri'!$A$2,  ROUND(C38*($E$11-$E$9)/$E$11*2/3, 2),0)</f>
        <v>0</v>
      </c>
      <c r="E38" s="23">
        <f t="shared" si="0"/>
        <v>0</v>
      </c>
    </row>
    <row r="39" spans="1:8" x14ac:dyDescent="0.25">
      <c r="A39" s="92"/>
      <c r="B39" s="18" t="s">
        <v>121</v>
      </c>
      <c r="C39" s="71"/>
      <c r="D39" s="23">
        <f>ROUND(   C39*$E$9/$E$11,   2)
+IF($D$6='Gelir Vergisi Verileri'!$A$2,  ROUND(C39*($E$11-$E$9)/$E$11*2/3, 2),0)</f>
        <v>0</v>
      </c>
      <c r="E39" s="23">
        <f t="shared" si="0"/>
        <v>0</v>
      </c>
    </row>
    <row r="40" spans="1:8" x14ac:dyDescent="0.25">
      <c r="A40" s="92"/>
      <c r="B40" s="18" t="s">
        <v>122</v>
      </c>
      <c r="C40" s="71"/>
      <c r="D40" s="23">
        <f>IF($E$9=0,   0,   C40)</f>
        <v>0</v>
      </c>
      <c r="E40" s="24">
        <f t="shared" si="0"/>
        <v>0</v>
      </c>
    </row>
    <row r="41" spans="1:8" x14ac:dyDescent="0.25">
      <c r="A41" s="92"/>
      <c r="B41" s="18" t="s">
        <v>123</v>
      </c>
      <c r="C41" s="71"/>
      <c r="D41" s="23">
        <f>ROUND(   C41*$E$9/$E$11,   2)
+IF($D$6='Gelir Vergisi Verileri'!$A$2,  ROUND(C41*($E$11-$E$9)/$E$11*2/3, 2),0)</f>
        <v>0</v>
      </c>
      <c r="E41" s="23">
        <f t="shared" si="0"/>
        <v>0</v>
      </c>
    </row>
    <row r="42" spans="1:8" x14ac:dyDescent="0.25">
      <c r="A42" s="92"/>
      <c r="B42" s="18" t="s">
        <v>124</v>
      </c>
      <c r="C42" s="71"/>
      <c r="D42" s="23">
        <f>ROUND(   C42*$E$9/$E$11,   2)
+IF($D$6='Gelir Vergisi Verileri'!$A$2,  ROUND(C42*($E$11-$E$9)/$E$11*2/3, 2),0)</f>
        <v>0</v>
      </c>
      <c r="E42" s="23">
        <f t="shared" si="0"/>
        <v>0</v>
      </c>
    </row>
    <row r="43" spans="1:8" x14ac:dyDescent="0.25">
      <c r="A43" s="92"/>
      <c r="B43" s="18" t="s">
        <v>70</v>
      </c>
      <c r="C43" s="71"/>
      <c r="D43" s="73">
        <f>ROUND(   C43*$E$9/$E$11,   2)
+IF($D$6='Gelir Vergisi Verileri'!$A$2,  ROUND(C43*($E$11-$E$9)/$E$11*2/3, 2),0)</f>
        <v>0</v>
      </c>
      <c r="E43" s="23">
        <f t="shared" si="0"/>
        <v>0</v>
      </c>
    </row>
    <row r="44" spans="1:8" x14ac:dyDescent="0.25">
      <c r="A44" s="92"/>
      <c r="B44" s="18" t="s">
        <v>128</v>
      </c>
      <c r="C44" s="71"/>
      <c r="D44" s="73">
        <f>ROUND(   C44*$E$9/$E$11,   2)
+IF($D$6='Gelir Vergisi Verileri'!$A$2,  ROUND(C44*($E$11-$E$9)/$E$11*2/3, 2),0)</f>
        <v>0</v>
      </c>
      <c r="E44" s="23">
        <f t="shared" si="0"/>
        <v>0</v>
      </c>
    </row>
    <row r="45" spans="1:8" x14ac:dyDescent="0.25">
      <c r="A45" s="92"/>
      <c r="B45" s="18" t="s">
        <v>129</v>
      </c>
      <c r="C45" s="71"/>
      <c r="D45" s="23">
        <f>ROUND(   C45*$E$9/$E$11,   2)
+IF($D$6='Gelir Vergisi Verileri'!$A$2,  ROUND(C45*($E$11-$E$9)/$E$11*2/3, 2),0)</f>
        <v>0</v>
      </c>
      <c r="E45" s="23">
        <f t="shared" si="0"/>
        <v>0</v>
      </c>
    </row>
    <row r="46" spans="1:8" x14ac:dyDescent="0.25">
      <c r="A46" s="92"/>
      <c r="B46" s="18" t="s">
        <v>63</v>
      </c>
      <c r="C46" s="71"/>
      <c r="D46" s="23">
        <f>ROUND(   C46*$E$9/$E$11,   2)
+IF($D$6='Gelir Vergisi Verileri'!$A$2,  ROUND(C46*($E$11-$E$9)/$E$11*2/3, 2),0)</f>
        <v>0</v>
      </c>
      <c r="E46" s="23">
        <f t="shared" si="0"/>
        <v>0</v>
      </c>
    </row>
    <row r="47" spans="1:8" x14ac:dyDescent="0.25">
      <c r="A47" s="21" t="s">
        <v>28</v>
      </c>
      <c r="B47" s="21"/>
      <c r="C47" s="29">
        <f>ROUND(SUM(C14:C46),2)</f>
        <v>0</v>
      </c>
      <c r="D47" s="29">
        <f t="shared" ref="D47:E47" si="1">ROUND(SUM(D14:D46),2)</f>
        <v>0</v>
      </c>
      <c r="E47" s="29">
        <f t="shared" si="1"/>
        <v>0</v>
      </c>
      <c r="G47" s="62" t="s">
        <v>209</v>
      </c>
      <c r="H47" s="63"/>
    </row>
    <row r="48" spans="1:8" ht="15" customHeight="1" x14ac:dyDescent="0.25">
      <c r="A48" s="92" t="s">
        <v>57</v>
      </c>
      <c r="B48" s="58"/>
      <c r="C48" s="59" t="s">
        <v>58</v>
      </c>
      <c r="D48" s="60" t="s">
        <v>59</v>
      </c>
      <c r="E48" s="59" t="s">
        <v>60</v>
      </c>
    </row>
    <row r="49" spans="1:8" ht="15" customHeight="1" x14ac:dyDescent="0.25">
      <c r="A49" s="92"/>
      <c r="B49" s="18" t="str">
        <f>"Emekli / Sigorta Primi "&amp;IF(E7=5434,"(%20)",IF(E7=5510,   IF(D8&lt;=2025,"(%11)",   IF(D8&gt;=2026,"(%12)","")),""))</f>
        <v>Emekli / Sigorta Primi (%12)</v>
      </c>
      <c r="C49" s="71"/>
      <c r="D49" s="23">
        <f xml:space="preserve">
IF($E$9=0,0,
   + ROUND(C49*$E$9/IF($E$9=$E$11,$E$11,30),2)
   + IF($D$6='Gelir Vergisi Verileri'!$A$2,   ROUND(C49*(IF($E$7=5434,30,$E$11)-$E$9)/IF(E$9=E$11,$E$11,30)*1/2,2),   0)
)</f>
        <v>0</v>
      </c>
      <c r="E49" s="23">
        <f t="shared" ref="E49:E56" si="2">ROUND(C49-D49,2)</f>
        <v>0</v>
      </c>
      <c r="F49" s="40"/>
      <c r="G49" s="19">
        <f xml:space="preserve">
IF(              E10="Primler Gönderildi",      ROUND(C49+C50+C51+C52+C53,2),
IF(   AND(E7=5434,E10="Primler Gönderilmedi"),   ROUND(C49+C50+C51+C52+C53,2),
IF(   AND(E7=5510,E10="Primler Gönderilmedi"),   ROUND(D49+D50+D51+D52+D53,2),
)))</f>
        <v>0</v>
      </c>
      <c r="H49" s="64" t="str">
        <f xml:space="preserve">
IF(E10="Primler Gönderildi",     "SGK'ye Bildirilen İşveren Payı",
IF(E10="Primler Gönderilmedi",   "SGK'ye Bildirilecek İşveren Payı",
))</f>
        <v>SGK'ye Bildirilen İşveren Payı</v>
      </c>
    </row>
    <row r="50" spans="1:8" ht="15" customHeight="1" x14ac:dyDescent="0.25">
      <c r="A50" s="92"/>
      <c r="B50" s="18" t="str">
        <f>"Genel Sağlık Sigortası "&amp;IF(E7=5434,"(%12)",IF(E7=5510,"(%7,5)"))</f>
        <v>Genel Sağlık Sigortası (%7,5)</v>
      </c>
      <c r="C50" s="71"/>
      <c r="D50" s="23">
        <f xml:space="preserve">
IF($E$9=0,0,
IF(   AND(   $E$7=5434,   OR(   D6='Gelir Vergisi Verileri'!A3,   D6='Gelir Vergisi Verileri'!A5   )   ),   C50,
   + ROUND(C50*$E$9/IF($E$9=$E$11,$E$11,30),2)
   + IF($D$6='Gelir Vergisi Verileri'!$A$2,   ROUND(C50*(IF($E$7=5434,30,$E$11)-$E$9)/IF(E$9=E$11,$E$11,30)*1/2,2),   0)
))</f>
        <v>0</v>
      </c>
      <c r="E50" s="23">
        <f t="shared" si="2"/>
        <v>0</v>
      </c>
      <c r="F50" s="40"/>
      <c r="G50" s="19">
        <f>IF(   E7=5434,   0,   ROUND(E49+E50+E51+E52+E53,2)   )</f>
        <v>0</v>
      </c>
      <c r="H50" s="64" t="str">
        <f>IF(E53&lt;0,"Mahsup Sonrası ","")&amp;"Gelir Kaydedilecek İşveren Payı"</f>
        <v>Gelir Kaydedilecek İşveren Payı</v>
      </c>
    </row>
    <row r="51" spans="1:8" ht="15" customHeight="1" x14ac:dyDescent="0.25">
      <c r="A51" s="92"/>
      <c r="B51" s="18" t="s">
        <v>66</v>
      </c>
      <c r="C51" s="71"/>
      <c r="D51" s="23">
        <f xml:space="preserve">
IF($E$9=0,0,
   + ROUND(C51*$E$9/IF($E$9=$E$11,$E$11,30),2)
   + IF($D$6='Gelir Vergisi Verileri'!$A$2,   ROUND(C51*(IF($E$7=5434,30,$E$11)-$E$9)/IF(E$9=E$11,$E$11,30)*1/2,2),   0)
)</f>
        <v>0</v>
      </c>
      <c r="E51" s="23">
        <f t="shared" si="2"/>
        <v>0</v>
      </c>
      <c r="F51" s="40"/>
      <c r="G51" s="3"/>
      <c r="H51" s="56"/>
    </row>
    <row r="52" spans="1:8" ht="15" customHeight="1" x14ac:dyDescent="0.25">
      <c r="A52" s="92"/>
      <c r="B52" s="18" t="str">
        <f xml:space="preserve">
IF(   OR(C52="",C52=0),                                                          "Kısa Vadeli Sigorta Kolları",
IF(OR(D8&gt;2024, AND(D8=2024,OR(E8="Eylül",E8="Ekim",E8="Kasım",E8="Aralık"))),   "Kısa Vadeli Sigorta Kol. (%2,25)",
                                                                                     "Kısa Vadeli Sigorta Kolları (%2)"
))</f>
        <v>Kısa Vadeli Sigorta Kolları</v>
      </c>
      <c r="C52" s="71"/>
      <c r="D52" s="23">
        <f xml:space="preserve">
IF($E$9=0,0,
   + ROUND(C52*$E$9/IF($E$9=$E$11,$E$11,30),2)
   + IF($D$6='Gelir Vergisi Verileri'!$A$2,   ROUND(C52*(IF($E$7=5434,30,$E$11)-$E$9)/IF(E$9=E$11,$E$11,30)*1/2,2),   0)
)</f>
        <v>0</v>
      </c>
      <c r="E52" s="23">
        <f t="shared" si="2"/>
        <v>0</v>
      </c>
      <c r="F52" s="40"/>
      <c r="G52" s="4"/>
      <c r="H52" s="56"/>
    </row>
    <row r="53" spans="1:8" ht="15" customHeight="1" thickBot="1" x14ac:dyDescent="0.3">
      <c r="A53" s="98"/>
      <c r="B53" s="25" t="str">
        <f xml:space="preserve">
IF(   AND(   E7=5510,   OR(   D6='Gelir Vergisi Verileri'!A3,   D6='Gelir Vergisi Verileri'!A5   )   ),
   "GSSP Çalışılmayan Günler (%12)",
   "GSSP Çalışılmayan Günler (%0)"
)</f>
        <v>GSSP Çalışılmayan Günler (%0)</v>
      </c>
      <c r="C53" s="76">
        <v>0</v>
      </c>
      <c r="D53" s="57">
        <f xml:space="preserve">
IF($E$7=5434,0,
IF($D$6='Gelir Vergisi Verileri'!$A$3, ROUND(ROUND( C49*100/ IF( D8&lt;=2025,11, IF(D8&gt;=2026,12, 12 )),2) / 30*(30-E9) *12/100, 2),
IF($D$6='Gelir Vergisi Verileri'!$A$5, ROUND(ROUND( C49*100/ IF( D8&lt;=2025,11, IF(D8&gt;=2026,12, 12 )),2) / 30*(30-E9) *12/100, 2),
0)))</f>
        <v>0</v>
      </c>
      <c r="E53" s="26">
        <f t="shared" si="2"/>
        <v>0</v>
      </c>
      <c r="F53" s="40"/>
      <c r="G53" s="67"/>
      <c r="H53" s="67"/>
    </row>
    <row r="54" spans="1:8" ht="15" customHeight="1" x14ac:dyDescent="0.25">
      <c r="A54" s="99" t="s">
        <v>69</v>
      </c>
      <c r="B54" s="27" t="str">
        <f>"Emekli / Sigorta Primi "&amp;IF(E7=5434,"(%16)",IF(E7=5510,"(%9)"))</f>
        <v>Emekli / Sigorta Primi (%9)</v>
      </c>
      <c r="C54" s="72"/>
      <c r="D54" s="74">
        <f xml:space="preserve">
IF($E$9=0,0,
IF($E$7=5434,C54,
   + ROUND(C54*$E$9/IF($E$9=$E$11,$E$11,30),2)
   + IF($D$6='Gelir Vergisi Verileri'!$A$2,   ROUND(C54*(IF($E$7=5434,30,$E$11)-$E$9)/IF(E$9=E$11,$E$11,30)*1/2,2),   0)
))</f>
        <v>0</v>
      </c>
      <c r="E54" s="61">
        <f t="shared" si="2"/>
        <v>0</v>
      </c>
      <c r="F54" s="40"/>
      <c r="G54" s="65">
        <f xml:space="preserve">
IF(              E10="Primler Gönderildi",      ROUND(C54+C55+C56,2),
IF(   AND(E7=5434,E10="Primler Gönderilmedi"),   ROUND(C54+C55+C56,2),
IF(   AND(E7=5510,E10="Primler Gönderilmedi"),   ROUND(D54+D55+D56,2),
)))</f>
        <v>0</v>
      </c>
      <c r="H54" s="66" t="str">
        <f xml:space="preserve">
IF(E10="Primler Gönderildi",     "SGK'ye Bildirilen Kişi Payı",
IF(E10="Primler Gönderilmedi",   "SGK'ye Bildirilecek Kişi Payı",
))</f>
        <v>SGK'ye Bildirilen Kişi Payı</v>
      </c>
    </row>
    <row r="55" spans="1:8" ht="15" customHeight="1" x14ac:dyDescent="0.25">
      <c r="A55" s="92"/>
      <c r="B55" s="18" t="str">
        <f>"Genel Sağlık Sigortası "&amp;IF(E7=5434,"(%0)",IF(E7=5510,"(%5)"))</f>
        <v>Genel Sağlık Sigortası (%5)</v>
      </c>
      <c r="C55" s="71"/>
      <c r="D55" s="74">
        <f xml:space="preserve">
IF($E$9=0,0,
IF($E$7=5434,C55,
   + ROUND(C55*$E$9/IF($E$9=$E$11,$E$11,30),2)
   + IF($D$6='Gelir Vergisi Verileri'!$A$2,   ROUND(C55*(IF($E$7=5434,30,$E$11)-$E$9)/IF(E$9=E$11,$E$11,30)*1/2,2),   0)
))</f>
        <v>0</v>
      </c>
      <c r="E55" s="23">
        <f t="shared" si="2"/>
        <v>0</v>
      </c>
      <c r="F55" s="40"/>
      <c r="G55" s="19">
        <f>IF(   E7=5434,   0,   ROUND(E54+E55+E56,2)   )</f>
        <v>0</v>
      </c>
      <c r="H55" s="64" t="str">
        <f xml:space="preserve">
IF(E10="Primler Gönderildi",     "Kamu Görevlisine İade Edilmesi Gereken Kişi Payı",
IF(E10="Primler Gönderilmedi",   "Kişiden Geri Alınacak Borç Miktarını Azaltıcı Kişi Payı",
))</f>
        <v>Kamu Görevlisine İade Edilmesi Gereken Kişi Payı</v>
      </c>
    </row>
    <row r="56" spans="1:8" ht="15" customHeight="1" x14ac:dyDescent="0.25">
      <c r="A56" s="92"/>
      <c r="B56" s="18" t="s">
        <v>207</v>
      </c>
      <c r="C56" s="75">
        <f>C51</f>
        <v>0</v>
      </c>
      <c r="D56" s="73">
        <f xml:space="preserve">
IF($E$9= 0,0,
IF($C$25&gt;0,0,
   C56
))</f>
        <v>0</v>
      </c>
      <c r="E56" s="23">
        <f t="shared" si="2"/>
        <v>0</v>
      </c>
      <c r="F56" s="40"/>
    </row>
    <row r="57" spans="1:8" x14ac:dyDescent="0.25">
      <c r="A57" s="21" t="s">
        <v>29</v>
      </c>
      <c r="B57" s="21"/>
      <c r="C57" s="29">
        <f>ROUND(SUM(C49:C56),2)</f>
        <v>0</v>
      </c>
      <c r="D57" s="29">
        <f t="shared" ref="D57:E57" si="3">ROUND(SUM(D49:D56),2)</f>
        <v>0</v>
      </c>
      <c r="E57" s="29">
        <f t="shared" si="3"/>
        <v>0</v>
      </c>
    </row>
    <row r="58" spans="1:8" x14ac:dyDescent="0.25">
      <c r="A58" s="92" t="s">
        <v>22</v>
      </c>
      <c r="B58" s="28"/>
      <c r="C58" s="59" t="s">
        <v>58</v>
      </c>
      <c r="D58" s="60" t="s">
        <v>59</v>
      </c>
      <c r="E58" s="59" t="s">
        <v>60</v>
      </c>
    </row>
    <row r="59" spans="1:8" ht="15" customHeight="1" x14ac:dyDescent="0.25">
      <c r="A59" s="92"/>
      <c r="B59" s="18" t="s">
        <v>15</v>
      </c>
      <c r="C59" s="71"/>
      <c r="D59" s="23">
        <f xml:space="preserve">
IF(E9=0,0,
IF(E9=E11,C59,
   G31
))</f>
        <v>0</v>
      </c>
      <c r="E59" s="23">
        <f t="shared" ref="E59:E60" si="4">ROUND(C59-D59,2)</f>
        <v>0</v>
      </c>
    </row>
    <row r="60" spans="1:8" x14ac:dyDescent="0.25">
      <c r="A60" s="92"/>
      <c r="B60" s="18" t="s">
        <v>16</v>
      </c>
      <c r="C60" s="71"/>
      <c r="D60" s="23">
        <f>IF(E9=0,0,$C$60)</f>
        <v>0</v>
      </c>
      <c r="E60" s="23">
        <f t="shared" si="4"/>
        <v>0</v>
      </c>
    </row>
    <row r="61" spans="1:8" x14ac:dyDescent="0.25">
      <c r="A61" s="21" t="s">
        <v>30</v>
      </c>
      <c r="B61" s="21"/>
      <c r="C61" s="84">
        <f>ROUND(SUM(C59:C60),2)</f>
        <v>0</v>
      </c>
      <c r="D61" s="84">
        <f t="shared" ref="D61:E61" si="5">ROUND(SUM(D59:D60),2)</f>
        <v>0</v>
      </c>
      <c r="E61" s="29">
        <f t="shared" si="5"/>
        <v>0</v>
      </c>
    </row>
    <row r="62" spans="1:8" ht="30" customHeight="1" x14ac:dyDescent="0.25">
      <c r="A62" s="30" t="s">
        <v>23</v>
      </c>
      <c r="B62" s="82" t="str">
        <f xml:space="preserve">
IF(C62="Genel Bütçeli İdare",
   IF(E7=5434,                      "1 + 2 - 3 ******",
   IF(E10="Primler Gönderildi",     "1 - 3 ******",
   IF(E10="Primler Gönderilmedi",   "1 - ( 2 Kişi Payları + 3 ) ******",
   ""))),
IF(C62="Özel Bütçeli İdare Vergiler Gönderildi",
   IF(E7=5434,                      "1 + 2 ******",
   IF(E10="Primler Gönderildi",     "1 ******",
   IF(E10="Primler Gönderilmedi",   "1 - ( 2 Kişi Payları ) ******",
   ""))),
IF(C62="Özel Bütçeli İdare Vergiler Gönderilmedi",
   IF(E7=5434,                      "1 + 2 ******",
   IF(E10="Primler Gönderildi",     "1 ******",
   IF(E10="Primler Gönderilmedi",   "1 - ( 2 Kişi Payları ) ******",
   ""))),
)))</f>
        <v>1 - 3 ******</v>
      </c>
      <c r="C62" s="86" t="s">
        <v>233</v>
      </c>
      <c r="D62" s="85" t="str">
        <f xml:space="preserve">
IF(C62="Genel Bütçeli İdare","",
IF(C62="Özel Bütçeli İdare Vergiler Gönderildi","Kişi Vergi Dairesinden Ret ve İade Talep Etmeli",
IF(C62="Özel Bütçeli İdare Vergiler Gönderilmedi","Ret ve İade İşlemi Yapılmalı",
)))</f>
        <v/>
      </c>
      <c r="E62" s="83">
        <f xml:space="preserve">
IF(C62="Genel Bütçeli İdare",
   IF($E$7=5434,                      ROUND(E47+E57-E61,2),
   IF($E$10="Primler Gönderildi",     ROUND(E47-E61,2),
   IF($E$10="Primler Gönderilmedi",   ROUND(E47-((E54+E55+E56)+E61),2),
   ""))),
IF(C62="Özel Bütçeli İdare Vergiler Gönderildi",
   IF($E$7=5434,                      ROUND(E47+E57,2),
   IF($E$10="Primler Gönderildi",     ROUND(E47,2),
   IF($E$10="Primler Gönderilmedi",   ROUND(E47-((E54+E55+E56)    ),2),
   ""))),
IF(C62="Özel Bütçeli İdare Vergiler Gönderilmedi",
   IF($E$7=5434,                      ROUND(E47+E57,2),
   IF($E$10="Primler Gönderildi",     ROUND(E47,2),
   IF($E$10="Primler Gönderilmedi",   ROUND(E47-((E54+E55+E56)    ),2),
   ""))),
)))</f>
        <v>0</v>
      </c>
      <c r="G62" s="89" t="s">
        <v>216</v>
      </c>
      <c r="H62" s="89"/>
    </row>
    <row r="63" spans="1:8" ht="15" customHeight="1" x14ac:dyDescent="0.25">
      <c r="A63" s="1"/>
      <c r="B63" s="1"/>
    </row>
    <row r="64" spans="1:8" ht="15" customHeight="1" x14ac:dyDescent="0.25">
      <c r="A64" s="1"/>
      <c r="B64" s="1"/>
    </row>
    <row r="65" spans="1:5" ht="15" customHeight="1" x14ac:dyDescent="0.25">
      <c r="A65" s="1"/>
      <c r="B65" s="1"/>
    </row>
    <row r="66" spans="1:5" ht="15" customHeight="1" x14ac:dyDescent="0.25">
      <c r="A66" s="1"/>
      <c r="B66" s="1"/>
    </row>
    <row r="67" spans="1:5" ht="15" customHeight="1" x14ac:dyDescent="0.25">
      <c r="A67" s="1"/>
      <c r="B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80">
        <f ca="1">TODAY()</f>
        <v>46114</v>
      </c>
      <c r="B69" s="80">
        <f ca="1">A69</f>
        <v>46114</v>
      </c>
      <c r="C69" s="80">
        <f ca="1">A69</f>
        <v>46114</v>
      </c>
      <c r="D69" s="101">
        <f ca="1">C69</f>
        <v>46114</v>
      </c>
      <c r="E69" s="101"/>
    </row>
    <row r="70" spans="1:5" ht="15" customHeight="1" x14ac:dyDescent="0.25">
      <c r="A70" s="4" t="str">
        <f>IF(B6="","",B6)</f>
        <v/>
      </c>
      <c r="B70" s="4" t="s">
        <v>219</v>
      </c>
      <c r="C70" s="4" t="s">
        <v>221</v>
      </c>
      <c r="D70" s="100" t="s">
        <v>222</v>
      </c>
      <c r="E70" s="100"/>
    </row>
    <row r="71" spans="1:5" ht="15" customHeight="1" x14ac:dyDescent="0.25">
      <c r="A71" s="3" t="str">
        <f>IF(D7="","",D7)</f>
        <v>Memur</v>
      </c>
      <c r="B71" s="3" t="s">
        <v>213</v>
      </c>
      <c r="C71" s="3" t="s">
        <v>214</v>
      </c>
      <c r="D71" s="100" t="s">
        <v>215</v>
      </c>
      <c r="E71" s="100"/>
    </row>
    <row r="72" spans="1:5" ht="15" customHeight="1" x14ac:dyDescent="0.25">
      <c r="A72" s="3" t="s">
        <v>226</v>
      </c>
      <c r="B72" s="3" t="s">
        <v>220</v>
      </c>
      <c r="C72" s="3" t="s">
        <v>19</v>
      </c>
      <c r="D72" s="100" t="s">
        <v>20</v>
      </c>
      <c r="E72" s="100"/>
    </row>
    <row r="73" spans="1:5" ht="15" customHeight="1" x14ac:dyDescent="0.25"/>
  </sheetData>
  <sheetProtection sheet="1" objects="1" scenarios="1"/>
  <mergeCells count="19">
    <mergeCell ref="D71:E71"/>
    <mergeCell ref="D72:E72"/>
    <mergeCell ref="D70:E70"/>
    <mergeCell ref="D69:E69"/>
    <mergeCell ref="A58:A60"/>
    <mergeCell ref="G62:H62"/>
    <mergeCell ref="G2:H2"/>
    <mergeCell ref="A1:D1"/>
    <mergeCell ref="A14:A46"/>
    <mergeCell ref="D6:E6"/>
    <mergeCell ref="A2:E2"/>
    <mergeCell ref="A3:E3"/>
    <mergeCell ref="A12:E12"/>
    <mergeCell ref="A9:B11"/>
    <mergeCell ref="D4:E4"/>
    <mergeCell ref="D5:E5"/>
    <mergeCell ref="G1:H1"/>
    <mergeCell ref="A48:A53"/>
    <mergeCell ref="A54:A56"/>
  </mergeCells>
  <conditionalFormatting sqref="C53">
    <cfRule type="cellIs" dxfId="2" priority="1" operator="lessThan">
      <formula>0</formula>
    </cfRule>
  </conditionalFormatting>
  <conditionalFormatting sqref="C56">
    <cfRule type="cellIs" dxfId="1" priority="2" operator="lessThan">
      <formula>0</formula>
    </cfRule>
  </conditionalFormatting>
  <conditionalFormatting sqref="E14:E46 E49:F56 E59:E60 C62 E62">
    <cfRule type="cellIs" dxfId="0" priority="5" operator="lessThan">
      <formula>0</formula>
    </cfRule>
  </conditionalFormatting>
  <dataValidations count="9">
    <dataValidation allowBlank="1" showDropDown="1" showInputMessage="1" showErrorMessage="1" sqref="E11" xr:uid="{3A8C3FCB-6F4C-4779-BFC4-E9B50E70E53B}"/>
    <dataValidation type="list" allowBlank="1" showInputMessage="1" sqref="E9" xr:uid="{38987609-7EDD-487B-A0DB-2B57D094F2C0}">
      <formula1>"0,1,2,3,4,5,6,7,8,9,10,11,12,13,14,15,16,17,18,19,20,21,22,23,24,25,26,27,28,29,30,31"</formula1>
    </dataValidation>
    <dataValidation type="list" allowBlank="1" showInputMessage="1" sqref="E8" xr:uid="{B1A57B7B-FF0E-45CF-834E-BA3B16EFFDD3}">
      <formula1>"Ocak,Şubat,Mart,Nisan,Mayıs,Haziran,Temmuz,Ağustos,Eylül,Ekim,Kasım,Aralık"</formula1>
    </dataValidation>
    <dataValidation type="list" allowBlank="1" showInputMessage="1" showErrorMessage="1" sqref="E7" xr:uid="{57B1E4BA-30F6-42BE-9E8A-80504C66C5D7}">
      <formula1>"5434,5510"</formula1>
    </dataValidation>
    <dataValidation type="list" allowBlank="1" showInputMessage="1" showErrorMessage="1" sqref="E10" xr:uid="{D3AAC892-D5FE-4B83-A72B-D00243FDF7A2}">
      <formula1>"Primler Gönderildi,Primler Gönderilmedi"</formula1>
    </dataValidation>
    <dataValidation type="list" allowBlank="1" showInputMessage="1" showErrorMessage="1" sqref="G4" xr:uid="{F6855835-ADD7-485C-8BAB-47AF8AEDEAC9}">
      <formula1>"Hayır,1. Derece %80 ve Üzeri,2. Derece %60 ve Üzeri,3. Derece %40 ve Üzeri"</formula1>
    </dataValidation>
    <dataValidation type="list" allowBlank="1" showInputMessage="1" showErrorMessage="1" sqref="G7" xr:uid="{1576C2B1-9B29-40D4-92B8-BFA78635208A}">
      <formula1>"Hayır,Birikim Primi Alınan,Birikim Primi Alınmayan"</formula1>
    </dataValidation>
    <dataValidation type="list" allowBlank="1" showInputMessage="1" showErrorMessage="1" sqref="G11 G15" xr:uid="{5218248E-7EF8-4AC6-9D6B-E89433E70A28}">
      <formula1>"İade Edilmesin,Kısmen İade Edisin,Tamamı İade Edilsin"</formula1>
    </dataValidation>
    <dataValidation type="list" allowBlank="1" showInputMessage="1" showErrorMessage="1" sqref="C62" xr:uid="{E94AB6EB-88CC-4C12-AC06-59922940CF8E}">
      <formula1>"Genel Bütçeli İdare,Özel Bütçeli İdare Vergiler Gönderildi,Özel Bütçeli İdare Vergiler Gönderilmedi"</formula1>
    </dataValidation>
  </dataValidations>
  <pageMargins left="0.70866141732283472" right="0.39370078740157483" top="0.39370078740157483" bottom="0.39370078740157483" header="0" footer="0"/>
  <pageSetup paperSize="9" scale="70" orientation="portrait" r:id="rId1"/>
  <ignoredErrors>
    <ignoredError sqref="D50:D51 D40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A839385F-9BA4-4B55-BF54-B6C1A5C3F724}">
          <x14:formula1>
            <xm:f>'Gelir Vergisi Verileri'!$D$1:$BA$1</xm:f>
          </x14:formula1>
          <xm:sqref>D8</xm:sqref>
        </x14:dataValidation>
        <x14:dataValidation type="list" allowBlank="1" showInputMessage="1" showErrorMessage="1" xr:uid="{9A0C9F1F-113C-4B82-B671-85786FD0E322}">
          <x14:formula1>
            <xm:f>'Gelir Vergisi Verileri'!$A$2:$A$25</xm:f>
          </x14:formula1>
          <xm:sqref>D6:E6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Gelir Vergisi Verileri</vt:lpstr>
      <vt:lpstr>Bordro</vt:lpstr>
      <vt:lpstr>Bordro!Yazdırma_Alanı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Mehmet TOKTAŞ</cp:lastModifiedBy>
  <cp:lastPrinted>2025-03-19T18:19:31Z</cp:lastPrinted>
  <dcterms:created xsi:type="dcterms:W3CDTF">2015-06-05T18:19:34Z</dcterms:created>
  <dcterms:modified xsi:type="dcterms:W3CDTF">2026-04-02T16:15:58Z</dcterms:modified>
</cp:coreProperties>
</file>